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even Pacifico\Desktop\Documents\District 2030\NRCan Grant\Project Management\Deliverables\Final Deliverables\"/>
    </mc:Choice>
  </mc:AlternateContent>
  <xr:revisionPtr revIDLastSave="0" documentId="13_ncr:1_{51B7E1BD-4A04-49CF-8602-F09F097F7837}" xr6:coauthVersionLast="47" xr6:coauthVersionMax="47" xr10:uidLastSave="{00000000-0000-0000-0000-000000000000}"/>
  <bookViews>
    <workbookView xWindow="-19410" yWindow="-16320" windowWidth="29040" windowHeight="15840" tabRatio="766" activeTab="5" xr2:uid="{757031EF-1902-45C1-A6D7-DF51ABA4BE5D}"/>
    <workbookView xWindow="-19410" yWindow="-16320" windowWidth="29040" windowHeight="15840" tabRatio="844" xr2:uid="{CED80DFF-DDB3-4D11-9D6C-540A7C23632C}"/>
  </bookViews>
  <sheets>
    <sheet name="Intro" sheetId="7" r:id="rId1"/>
    <sheet name="Global Inputs" sheetId="56" r:id="rId2"/>
    <sheet name="Building Typology" sheetId="52" r:id="rId3"/>
    <sheet name="System Descriptions" sheetId="57" r:id="rId4"/>
    <sheet name="FS - Unitary Capital" sheetId="73" r:id="rId5"/>
    <sheet name="FS - Capital Output" sheetId="61" r:id="rId6"/>
    <sheet name="FS - Operational" sheetId="62" r:id="rId7"/>
    <sheet name="FS - Business Case" sheetId="63" r:id="rId8"/>
    <sheet name="FS - Graphical Analyses" sheetId="70" r:id="rId9"/>
    <sheet name="Efficiency" sheetId="72" r:id="rId10"/>
  </sheets>
  <externalReferences>
    <externalReference r:id="rId11"/>
    <externalReference r:id="rId12"/>
    <externalReference r:id="rId13"/>
    <externalReference r:id="rId14"/>
    <externalReference r:id="rId15"/>
    <externalReference r:id="rId16"/>
    <externalReference r:id="rId17"/>
  </externalReferences>
  <definedNames>
    <definedName name="AllUtilityData14">'[1]14Data - AllUtilities'!$A$3:$P$1290</definedName>
    <definedName name="BSIWhichPageSetup" hidden="1">1</definedName>
    <definedName name="BSIWhichPageSetup_0" hidden="1">"0þ"</definedName>
    <definedName name="BTU_gal">[2]Conversion!$B$7</definedName>
    <definedName name="Btu_kWh">[1]Conversion!$B$3</definedName>
    <definedName name="CONST">[3]EAp2!$X$17</definedName>
    <definedName name="E_GHG">[4]Conversion!$F$3</definedName>
    <definedName name="ekWh_L">[1]Conversion!$B$14</definedName>
    <definedName name="ekWh_L_Prop">[1]Conversion!$B$15</definedName>
    <definedName name="ekWh_m3">[1]Conversion!$B$13</definedName>
    <definedName name="ekWh_per_L_Oil">'[5]Conversion Calcs'!$C$24</definedName>
    <definedName name="ekWh_per_m3">'[5]Conversion Calcs'!$C$23</definedName>
    <definedName name="G_GHG">[4]Conversion!$F$4</definedName>
    <definedName name="GJtoM3">'[5]Conversion Calcs'!$B$30</definedName>
    <definedName name="J_BTU">[2]Conversion!$B$4</definedName>
    <definedName name="L_gal">[2]Conversion!$B$8</definedName>
    <definedName name="L_OIL_ekWh">[6]Conversions!$B$4</definedName>
    <definedName name="L_Propane_ekWh">[6]Conversions!$B$5</definedName>
    <definedName name="litres_per_gallon">'[7]Conversion Calcs'!$B$14</definedName>
    <definedName name="m3_kWh">[6]Conversions!$B$3</definedName>
    <definedName name="m3_per_ccf">[7]Conversions!$C$3</definedName>
    <definedName name="M3_per_CF">[7]Conversions!$C$18</definedName>
    <definedName name="M3_per_Gal">[7]Conversions!$C$14</definedName>
    <definedName name="m3_per_GJ">'[7]Conversion Calcs'!$E$24</definedName>
    <definedName name="M3_per_KGal">[7]Conversions!$C$15</definedName>
    <definedName name="M3_per_L">[7]Conversions!$C$19</definedName>
    <definedName name="m3_per_therm">[7]Conversions!$C$5</definedName>
    <definedName name="m3_per_unit">'[7]Conversion Calcs'!$B$8</definedName>
    <definedName name="MJ_m3">'[5]Conversion Calcs'!$B$5</definedName>
    <definedName name="Proxies2016">[6]Proxies2016!$A$3:$U$1712</definedName>
    <definedName name="Proxies2017">[6]Proxies2017!$A$3:$U$1681</definedName>
    <definedName name="proxy14">'[6]2014'!$P$1727:$U$1730</definedName>
    <definedName name="ProxyModel">[6]Proxies2015!$A$3:$S$1678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1" i="63" l="1"/>
  <c r="AD30" i="63"/>
  <c r="AD29" i="63"/>
  <c r="AD26" i="63"/>
  <c r="AD22" i="63"/>
  <c r="AD20" i="63"/>
  <c r="AE20" i="63" s="1"/>
  <c r="AD19" i="63"/>
  <c r="AD16" i="63"/>
  <c r="AE16" i="63" s="1"/>
  <c r="AD15" i="63"/>
  <c r="AD14" i="63"/>
  <c r="AD13" i="63"/>
  <c r="AD12" i="63"/>
  <c r="AD9" i="63"/>
  <c r="AD8" i="63"/>
  <c r="AD7" i="63"/>
  <c r="AD6" i="63"/>
  <c r="AE15" i="63"/>
  <c r="AE31" i="63"/>
  <c r="AE19" i="63"/>
  <c r="AE8" i="63"/>
  <c r="AE7" i="63"/>
  <c r="AE13" i="63"/>
  <c r="AE14" i="63"/>
  <c r="AE29" i="63"/>
  <c r="AE30" i="63"/>
  <c r="AE12" i="63"/>
  <c r="AE26" i="63"/>
  <c r="AE22" i="63"/>
  <c r="AD5" i="63"/>
  <c r="X31" i="63"/>
  <c r="X30" i="63"/>
  <c r="X29" i="63"/>
  <c r="X26" i="63"/>
  <c r="X22" i="63"/>
  <c r="X21" i="63"/>
  <c r="X20" i="63"/>
  <c r="X19" i="63"/>
  <c r="Y19" i="63" s="1"/>
  <c r="X16" i="63"/>
  <c r="X15" i="63"/>
  <c r="X14" i="63"/>
  <c r="X13" i="63"/>
  <c r="Y13" i="63" s="1"/>
  <c r="X12" i="63"/>
  <c r="Y12" i="63" s="1"/>
  <c r="X9" i="63"/>
  <c r="X8" i="63"/>
  <c r="X7" i="63"/>
  <c r="Y7" i="63" s="1"/>
  <c r="X6" i="63"/>
  <c r="Y14" i="63"/>
  <c r="Y15" i="63"/>
  <c r="Y29" i="63"/>
  <c r="Y30" i="63"/>
  <c r="Y31" i="63"/>
  <c r="Y9" i="63"/>
  <c r="Y22" i="63"/>
  <c r="Y26" i="63"/>
  <c r="Y8" i="63"/>
  <c r="Y6" i="63"/>
  <c r="Y20" i="63"/>
  <c r="X5" i="63"/>
  <c r="R31" i="63"/>
  <c r="R30" i="63"/>
  <c r="R29" i="63"/>
  <c r="R26" i="63"/>
  <c r="R22" i="63"/>
  <c r="S22" i="63" s="1"/>
  <c r="R21" i="63"/>
  <c r="R20" i="63"/>
  <c r="S20" i="63" s="1"/>
  <c r="R19" i="63"/>
  <c r="S19" i="63" s="1"/>
  <c r="R16" i="63"/>
  <c r="R15" i="63"/>
  <c r="R14" i="63"/>
  <c r="R13" i="63"/>
  <c r="S13" i="63" s="1"/>
  <c r="R12" i="63"/>
  <c r="R9" i="63"/>
  <c r="R8" i="63"/>
  <c r="S8" i="63" s="1"/>
  <c r="R7" i="63"/>
  <c r="S7" i="63" s="1"/>
  <c r="R6" i="63"/>
  <c r="S15" i="63"/>
  <c r="S29" i="63"/>
  <c r="S30" i="63"/>
  <c r="S12" i="63"/>
  <c r="S31" i="63"/>
  <c r="S9" i="63"/>
  <c r="S14" i="63"/>
  <c r="S26" i="63"/>
  <c r="S16" i="63"/>
  <c r="S6" i="63"/>
  <c r="R5" i="63"/>
  <c r="S5" i="63"/>
  <c r="L31" i="63"/>
  <c r="L30" i="63"/>
  <c r="L29" i="63"/>
  <c r="L26" i="63"/>
  <c r="L22" i="63"/>
  <c r="M22" i="63" s="1"/>
  <c r="L20" i="63"/>
  <c r="L19" i="63"/>
  <c r="L16" i="63"/>
  <c r="L15" i="63"/>
  <c r="M15" i="63" s="1"/>
  <c r="L14" i="63"/>
  <c r="L13" i="63"/>
  <c r="L12" i="63"/>
  <c r="M16" i="63"/>
  <c r="M12" i="63"/>
  <c r="M19" i="63"/>
  <c r="M20" i="63"/>
  <c r="M26" i="63"/>
  <c r="M14" i="63"/>
  <c r="L9" i="63"/>
  <c r="L8" i="63"/>
  <c r="L7" i="63"/>
  <c r="L6" i="63"/>
  <c r="L5" i="63"/>
  <c r="M5" i="63" s="1"/>
  <c r="C28" i="52"/>
  <c r="C18" i="52"/>
  <c r="C24" i="52"/>
  <c r="C11" i="52"/>
  <c r="C4" i="52"/>
  <c r="AK31" i="63"/>
  <c r="AK30" i="63"/>
  <c r="AK29" i="63"/>
  <c r="AK26" i="63"/>
  <c r="AK22" i="63"/>
  <c r="AK20" i="63"/>
  <c r="AK19" i="63"/>
  <c r="AK16" i="63"/>
  <c r="AK15" i="63"/>
  <c r="AK14" i="63"/>
  <c r="AK13" i="63"/>
  <c r="AK12" i="63"/>
  <c r="AK9" i="63"/>
  <c r="AK8" i="63"/>
  <c r="AK7" i="63"/>
  <c r="AK6" i="63"/>
  <c r="AK5" i="63"/>
  <c r="AE9" i="63"/>
  <c r="AE6" i="63"/>
  <c r="AE5" i="63"/>
  <c r="Y16" i="63"/>
  <c r="Y5" i="63"/>
  <c r="M31" i="63"/>
  <c r="M30" i="63"/>
  <c r="M29" i="63"/>
  <c r="M13" i="63"/>
  <c r="M9" i="63"/>
  <c r="M8" i="63"/>
  <c r="M7" i="63"/>
  <c r="M6" i="63"/>
  <c r="G31" i="63"/>
  <c r="G30" i="63"/>
  <c r="G29" i="63"/>
  <c r="G26" i="63"/>
  <c r="G22" i="63"/>
  <c r="G20" i="63"/>
  <c r="G19" i="63"/>
  <c r="G16" i="63"/>
  <c r="G15" i="63"/>
  <c r="G14" i="63"/>
  <c r="G13" i="63"/>
  <c r="G12" i="63"/>
  <c r="G9" i="63"/>
  <c r="G8" i="63"/>
  <c r="G7" i="63"/>
  <c r="G6" i="63"/>
  <c r="G5" i="63"/>
  <c r="G33" i="56"/>
  <c r="D30" i="62"/>
  <c r="D31" i="62"/>
  <c r="AB20" i="63"/>
  <c r="AB14" i="63"/>
  <c r="AB9" i="63"/>
  <c r="AB7" i="63"/>
  <c r="AB6" i="63"/>
  <c r="V9" i="63"/>
  <c r="V7" i="63"/>
  <c r="V6" i="63"/>
  <c r="BT5" i="72"/>
  <c r="BT6" i="72"/>
  <c r="BT7" i="72"/>
  <c r="BS5" i="72"/>
  <c r="BS6" i="72"/>
  <c r="BS7" i="72"/>
  <c r="BR5" i="72"/>
  <c r="BR6" i="72"/>
  <c r="BR7" i="72"/>
  <c r="BQ5" i="72"/>
  <c r="BQ6" i="72"/>
  <c r="BQ7" i="72"/>
  <c r="BP5" i="72"/>
  <c r="BP6" i="72"/>
  <c r="BP7" i="72"/>
  <c r="BN26" i="72"/>
  <c r="BN25" i="72"/>
  <c r="BM21" i="72"/>
  <c r="BN22" i="72"/>
  <c r="BN20" i="72"/>
  <c r="BN19" i="72"/>
  <c r="BN15" i="72"/>
  <c r="BN14" i="72"/>
  <c r="BN13" i="72"/>
  <c r="BN12" i="72"/>
  <c r="BN8" i="72"/>
  <c r="BN9" i="72"/>
  <c r="BN5" i="72"/>
  <c r="BN6" i="72"/>
  <c r="BN7" i="72"/>
  <c r="AM5" i="72"/>
  <c r="AM6" i="72"/>
  <c r="AM7" i="72"/>
  <c r="AM8" i="72"/>
  <c r="AL5" i="72"/>
  <c r="AL6" i="72"/>
  <c r="AL7" i="72"/>
  <c r="AL8" i="72"/>
  <c r="AK5" i="72"/>
  <c r="AK6" i="72"/>
  <c r="AK7" i="72"/>
  <c r="AK8" i="72"/>
  <c r="AJ5" i="72"/>
  <c r="AJ6" i="72"/>
  <c r="AJ7" i="72"/>
  <c r="AI26" i="72"/>
  <c r="AI25" i="72"/>
  <c r="AI22" i="72"/>
  <c r="AI21" i="72"/>
  <c r="AI20" i="72"/>
  <c r="AI19" i="72"/>
  <c r="AI15" i="72"/>
  <c r="AI14" i="72"/>
  <c r="AI13" i="72"/>
  <c r="AI12" i="72"/>
  <c r="AI9" i="72"/>
  <c r="AI8" i="72"/>
  <c r="AI5" i="72"/>
  <c r="AI6" i="72"/>
  <c r="AI7" i="72"/>
  <c r="AG5" i="72"/>
  <c r="H26" i="72"/>
  <c r="H25" i="72"/>
  <c r="H22" i="72"/>
  <c r="H20" i="72"/>
  <c r="H19" i="72"/>
  <c r="I19" i="72" s="1"/>
  <c r="K19" i="72" s="1"/>
  <c r="BY19" i="72" s="1"/>
  <c r="H16" i="72"/>
  <c r="H15" i="72"/>
  <c r="H14" i="72"/>
  <c r="H13" i="72"/>
  <c r="H12" i="72"/>
  <c r="H9" i="72"/>
  <c r="H8" i="72"/>
  <c r="H7" i="72"/>
  <c r="H6" i="72"/>
  <c r="H5" i="72"/>
  <c r="I5" i="72" s="1"/>
  <c r="M25" i="72"/>
  <c r="Z25" i="72" s="1"/>
  <c r="M26" i="72"/>
  <c r="A14" i="63"/>
  <c r="CG26" i="72"/>
  <c r="AZ26" i="72"/>
  <c r="CG25" i="72"/>
  <c r="AZ25" i="72"/>
  <c r="AG7" i="72"/>
  <c r="R7" i="72"/>
  <c r="Q7" i="72"/>
  <c r="BO7" i="72" s="1"/>
  <c r="AG6" i="72"/>
  <c r="R6" i="72"/>
  <c r="Q6" i="72"/>
  <c r="BO6" i="72" s="1"/>
  <c r="R5" i="72"/>
  <c r="Q5" i="72"/>
  <c r="BO5" i="72" s="1"/>
  <c r="P6" i="63"/>
  <c r="P7" i="63"/>
  <c r="P9" i="63"/>
  <c r="AH6" i="63"/>
  <c r="AH7" i="63"/>
  <c r="AH9" i="63"/>
  <c r="J6" i="63"/>
  <c r="J7" i="63"/>
  <c r="J9" i="63"/>
  <c r="D7" i="63"/>
  <c r="AF5" i="62"/>
  <c r="M26" i="62"/>
  <c r="V26" i="62"/>
  <c r="P27" i="70"/>
  <c r="BW26" i="72"/>
  <c r="BW25" i="72"/>
  <c r="BW22" i="72"/>
  <c r="BW21" i="72"/>
  <c r="BW20" i="72"/>
  <c r="BW19" i="72"/>
  <c r="BW15" i="72"/>
  <c r="BW14" i="72"/>
  <c r="BW13" i="72"/>
  <c r="BW12" i="72"/>
  <c r="BW9" i="72"/>
  <c r="BW8" i="72"/>
  <c r="BW5" i="72"/>
  <c r="BW7" i="72"/>
  <c r="BW6" i="72"/>
  <c r="BL26" i="72"/>
  <c r="BL25" i="72"/>
  <c r="BL22" i="72"/>
  <c r="BL20" i="72"/>
  <c r="BL19" i="72"/>
  <c r="BL15" i="72"/>
  <c r="BL14" i="72"/>
  <c r="BL13" i="72"/>
  <c r="BL9" i="72"/>
  <c r="BL8" i="72"/>
  <c r="AP26" i="72"/>
  <c r="AP25" i="72"/>
  <c r="AP22" i="72"/>
  <c r="AP21" i="72"/>
  <c r="AE22" i="72"/>
  <c r="M21" i="72"/>
  <c r="Z21" i="72" s="1"/>
  <c r="BF21" i="72" s="1"/>
  <c r="N21" i="72"/>
  <c r="G21" i="72"/>
  <c r="F21" i="72"/>
  <c r="D21" i="72"/>
  <c r="C21" i="72"/>
  <c r="A21" i="72"/>
  <c r="AP20" i="72"/>
  <c r="AP19" i="72"/>
  <c r="AP15" i="72"/>
  <c r="AP14" i="72"/>
  <c r="AP13" i="72"/>
  <c r="AP12" i="72"/>
  <c r="AP9" i="72"/>
  <c r="AP8" i="72"/>
  <c r="AP6" i="72"/>
  <c r="AP7" i="72"/>
  <c r="AP5" i="72"/>
  <c r="H21" i="72" l="1"/>
  <c r="BE26" i="72"/>
  <c r="AH5" i="72"/>
  <c r="BE25" i="72"/>
  <c r="BF25" i="72" s="1"/>
  <c r="AH6" i="72"/>
  <c r="U19" i="72"/>
  <c r="BZ19" i="72" s="1"/>
  <c r="Y26" i="72"/>
  <c r="AH7" i="72"/>
  <c r="V19" i="72"/>
  <c r="CJ25" i="72"/>
  <c r="Z26" i="72"/>
  <c r="AR19" i="72"/>
  <c r="Y21" i="72"/>
  <c r="BD21" i="72" s="1"/>
  <c r="Y25" i="72"/>
  <c r="CL25" i="72"/>
  <c r="CM25" i="72" s="1"/>
  <c r="CJ26" i="72"/>
  <c r="AT19" i="72"/>
  <c r="CL26" i="72"/>
  <c r="CA19" i="72"/>
  <c r="BC26" i="72"/>
  <c r="BC25" i="72"/>
  <c r="AQ19" i="72"/>
  <c r="BX19" i="72"/>
  <c r="AO31" i="62"/>
  <c r="AO30" i="62"/>
  <c r="AO29" i="62"/>
  <c r="AO26" i="62"/>
  <c r="AO22" i="62"/>
  <c r="AO19" i="62"/>
  <c r="AO16" i="62"/>
  <c r="AO15" i="62"/>
  <c r="AO13" i="62"/>
  <c r="AO12" i="62"/>
  <c r="AO8" i="62"/>
  <c r="AF31" i="62"/>
  <c r="AF30" i="62"/>
  <c r="AF29" i="62"/>
  <c r="AF26" i="62"/>
  <c r="AF22" i="62"/>
  <c r="AF19" i="62"/>
  <c r="AF16" i="62"/>
  <c r="AF15" i="62"/>
  <c r="AF13" i="62"/>
  <c r="AF12" i="62"/>
  <c r="AF8" i="62"/>
  <c r="W31" i="62"/>
  <c r="W30" i="62"/>
  <c r="W29" i="62"/>
  <c r="W26" i="62"/>
  <c r="W22" i="62"/>
  <c r="W19" i="62"/>
  <c r="W16" i="62"/>
  <c r="W15" i="62"/>
  <c r="W13" i="62"/>
  <c r="W12" i="62"/>
  <c r="W8" i="62"/>
  <c r="AX31" i="62"/>
  <c r="AX30" i="62"/>
  <c r="AX29" i="62"/>
  <c r="AX26" i="62"/>
  <c r="AX22" i="62"/>
  <c r="AX19" i="62"/>
  <c r="AX16" i="62"/>
  <c r="AX15" i="62"/>
  <c r="AX13" i="62"/>
  <c r="AX12" i="62"/>
  <c r="AX8" i="62"/>
  <c r="BG5" i="62"/>
  <c r="AX6" i="62"/>
  <c r="W6" i="62" s="1"/>
  <c r="AF6" i="62" s="1"/>
  <c r="BG8" i="62"/>
  <c r="X12" i="62"/>
  <c r="AG12" i="62" s="1"/>
  <c r="AP12" i="62" s="1"/>
  <c r="BG31" i="62"/>
  <c r="BG30" i="62"/>
  <c r="BG29" i="62"/>
  <c r="BG26" i="62"/>
  <c r="BG22" i="62"/>
  <c r="AX20" i="62"/>
  <c r="W20" i="62" s="1"/>
  <c r="AF20" i="62" s="1"/>
  <c r="BG19" i="62"/>
  <c r="BG16" i="62"/>
  <c r="BG15" i="62"/>
  <c r="AX14" i="62"/>
  <c r="W14" i="62" s="1"/>
  <c r="AF14" i="62" s="1"/>
  <c r="BG13" i="62"/>
  <c r="BG12" i="62"/>
  <c r="AX9" i="62"/>
  <c r="W9" i="62" s="1"/>
  <c r="AF9" i="62" s="1"/>
  <c r="AX7" i="62"/>
  <c r="W7" i="62" s="1"/>
  <c r="BH31" i="62"/>
  <c r="BH30" i="62"/>
  <c r="BH29" i="62"/>
  <c r="X29" i="62" s="1"/>
  <c r="AG29" i="62" s="1"/>
  <c r="AP29" i="62" s="1"/>
  <c r="BH26" i="62"/>
  <c r="X26" i="62" s="1"/>
  <c r="AG26" i="62" s="1"/>
  <c r="AP26" i="62" s="1"/>
  <c r="BH22" i="62"/>
  <c r="X22" i="62" s="1"/>
  <c r="AG22" i="62" s="1"/>
  <c r="AP22" i="62" s="1"/>
  <c r="AY20" i="62"/>
  <c r="X20" i="62" s="1"/>
  <c r="AG20" i="62" s="1"/>
  <c r="AP20" i="62" s="1"/>
  <c r="BH19" i="62"/>
  <c r="X19" i="62" s="1"/>
  <c r="AG19" i="62" s="1"/>
  <c r="AP19" i="62" s="1"/>
  <c r="BH16" i="62"/>
  <c r="X16" i="62" s="1"/>
  <c r="AG16" i="62" s="1"/>
  <c r="AP16" i="62" s="1"/>
  <c r="BH15" i="62"/>
  <c r="X15" i="62" s="1"/>
  <c r="AG15" i="62" s="1"/>
  <c r="AP15" i="62" s="1"/>
  <c r="AY14" i="62"/>
  <c r="X14" i="62" s="1"/>
  <c r="AG14" i="62" s="1"/>
  <c r="BH13" i="62"/>
  <c r="BH12" i="62"/>
  <c r="AY9" i="62"/>
  <c r="X9" i="62" s="1"/>
  <c r="AG9" i="62" s="1"/>
  <c r="AP9" i="62" s="1"/>
  <c r="BH8" i="62"/>
  <c r="AY7" i="62"/>
  <c r="X7" i="62" s="1"/>
  <c r="AG7" i="62" s="1"/>
  <c r="AP7" i="62" s="1"/>
  <c r="AY6" i="62"/>
  <c r="X6" i="62" s="1"/>
  <c r="AG6" i="62" s="1"/>
  <c r="AP6" i="62" s="1"/>
  <c r="BH5" i="62"/>
  <c r="X5" i="62" s="1"/>
  <c r="AG5" i="62" s="1"/>
  <c r="AP5" i="62" s="1"/>
  <c r="F31" i="56"/>
  <c r="F32" i="56"/>
  <c r="F33" i="56"/>
  <c r="F30" i="56"/>
  <c r="BF26" i="72" l="1"/>
  <c r="AS19" i="72"/>
  <c r="BD26" i="72"/>
  <c r="CK25" i="72"/>
  <c r="CB19" i="72"/>
  <c r="CK26" i="72"/>
  <c r="CM26" i="72"/>
  <c r="AU19" i="72"/>
  <c r="BD25" i="72"/>
  <c r="AO6" i="62"/>
  <c r="AO14" i="62"/>
  <c r="AO20" i="62"/>
  <c r="AO9" i="62"/>
  <c r="AP14" i="62"/>
  <c r="AF7" i="62"/>
  <c r="X31" i="62"/>
  <c r="X30" i="62"/>
  <c r="X8" i="62"/>
  <c r="X13" i="62"/>
  <c r="AG13" i="62" l="1"/>
  <c r="AO7" i="62"/>
  <c r="AG8" i="62"/>
  <c r="AG30" i="62"/>
  <c r="AG31" i="62"/>
  <c r="N25" i="72"/>
  <c r="N26" i="72"/>
  <c r="J21" i="52"/>
  <c r="K21" i="52" s="1"/>
  <c r="L21" i="52" s="1"/>
  <c r="J25" i="52"/>
  <c r="K25" i="52" s="1"/>
  <c r="J26" i="52"/>
  <c r="I25" i="72"/>
  <c r="K25" i="72" s="1"/>
  <c r="V25" i="72" l="1"/>
  <c r="U25" i="72"/>
  <c r="BX25" i="72"/>
  <c r="AQ25" i="72"/>
  <c r="AP30" i="62"/>
  <c r="AP8" i="62"/>
  <c r="AP31" i="62"/>
  <c r="AP13" i="62"/>
  <c r="D26" i="52" l="1"/>
  <c r="AH5" i="61" l="1"/>
  <c r="AH6" i="61"/>
  <c r="AH7" i="61"/>
  <c r="AH9" i="61"/>
  <c r="AH12" i="61"/>
  <c r="AH13" i="61"/>
  <c r="AH14" i="61"/>
  <c r="AH15" i="61"/>
  <c r="AH16" i="61"/>
  <c r="AH19" i="61"/>
  <c r="AH20" i="61"/>
  <c r="AH22" i="61"/>
  <c r="AH26" i="61"/>
  <c r="AH29" i="61"/>
  <c r="AH30" i="61"/>
  <c r="AH31" i="61"/>
  <c r="AG31" i="61"/>
  <c r="AG30" i="61"/>
  <c r="AG29" i="61"/>
  <c r="AG26" i="61"/>
  <c r="AG22" i="61"/>
  <c r="AG20" i="61"/>
  <c r="AG19" i="61"/>
  <c r="AG16" i="61"/>
  <c r="AG15" i="61"/>
  <c r="AG14" i="61"/>
  <c r="AG13" i="61"/>
  <c r="AG12" i="61"/>
  <c r="AG9" i="61"/>
  <c r="AG8" i="61"/>
  <c r="AG7" i="61"/>
  <c r="AG6" i="61"/>
  <c r="AG5" i="61"/>
  <c r="Y5" i="61"/>
  <c r="Y6" i="61"/>
  <c r="Y7" i="61"/>
  <c r="Y9" i="61"/>
  <c r="Y12" i="61"/>
  <c r="Y13" i="61"/>
  <c r="Y14" i="61"/>
  <c r="Y15" i="61"/>
  <c r="Y16" i="61"/>
  <c r="Y19" i="61"/>
  <c r="Y20" i="61"/>
  <c r="Y22" i="61"/>
  <c r="Y26" i="61"/>
  <c r="Y29" i="61"/>
  <c r="Y30" i="61"/>
  <c r="Y31" i="61"/>
  <c r="X6" i="61"/>
  <c r="X7" i="61"/>
  <c r="X8" i="61"/>
  <c r="X9" i="61"/>
  <c r="X12" i="61"/>
  <c r="X13" i="61"/>
  <c r="X14" i="61"/>
  <c r="X15" i="61"/>
  <c r="X16" i="61"/>
  <c r="X19" i="61"/>
  <c r="X20" i="61"/>
  <c r="X22" i="61"/>
  <c r="X26" i="61"/>
  <c r="X29" i="61"/>
  <c r="X30" i="61"/>
  <c r="X31" i="61"/>
  <c r="X5" i="61"/>
  <c r="P5" i="61"/>
  <c r="P6" i="61"/>
  <c r="P7" i="61"/>
  <c r="P9" i="61"/>
  <c r="P12" i="61"/>
  <c r="P13" i="61"/>
  <c r="P14" i="61"/>
  <c r="P15" i="61"/>
  <c r="P16" i="61"/>
  <c r="P19" i="61"/>
  <c r="P20" i="61"/>
  <c r="P22" i="61"/>
  <c r="P26" i="61"/>
  <c r="P29" i="61"/>
  <c r="P30" i="61"/>
  <c r="P31" i="61"/>
  <c r="O31" i="61"/>
  <c r="O30" i="61"/>
  <c r="O29" i="61"/>
  <c r="O26" i="61"/>
  <c r="O22" i="61"/>
  <c r="O20" i="61"/>
  <c r="O19" i="61"/>
  <c r="O16" i="61"/>
  <c r="O15" i="61"/>
  <c r="O14" i="61"/>
  <c r="O13" i="61"/>
  <c r="O12" i="61"/>
  <c r="O6" i="61"/>
  <c r="O7" i="61"/>
  <c r="O8" i="61"/>
  <c r="O9" i="61"/>
  <c r="O5" i="61"/>
  <c r="AQ31" i="61"/>
  <c r="AQ30" i="61"/>
  <c r="AQ29" i="61"/>
  <c r="AQ26" i="61"/>
  <c r="AQ22" i="61"/>
  <c r="AQ20" i="61"/>
  <c r="AQ19" i="61"/>
  <c r="AQ16" i="61"/>
  <c r="AQ15" i="61"/>
  <c r="AQ14" i="61"/>
  <c r="AQ13" i="61"/>
  <c r="AQ12" i="61"/>
  <c r="AP6" i="61"/>
  <c r="AQ6" i="61"/>
  <c r="AP7" i="61"/>
  <c r="AQ7" i="61"/>
  <c r="AP8" i="61"/>
  <c r="AP9" i="61"/>
  <c r="AQ9" i="61"/>
  <c r="AQ5" i="61"/>
  <c r="AP31" i="61"/>
  <c r="AP30" i="61"/>
  <c r="AP29" i="61"/>
  <c r="AP26" i="61"/>
  <c r="AP22" i="61"/>
  <c r="AP20" i="61"/>
  <c r="AP19" i="61"/>
  <c r="AP16" i="61"/>
  <c r="AP15" i="61"/>
  <c r="AP14" i="61"/>
  <c r="AP13" i="61"/>
  <c r="AP12" i="61"/>
  <c r="AP5" i="61"/>
  <c r="T30" i="73"/>
  <c r="T29" i="73"/>
  <c r="T22" i="73"/>
  <c r="T20" i="73"/>
  <c r="T19" i="73"/>
  <c r="T16" i="73"/>
  <c r="T15" i="73"/>
  <c r="T14" i="73"/>
  <c r="T13" i="73"/>
  <c r="T12" i="73"/>
  <c r="T9" i="73"/>
  <c r="T7" i="73"/>
  <c r="AB6" i="73"/>
  <c r="T6" i="73"/>
  <c r="T5" i="73"/>
  <c r="AU14" i="73"/>
  <c r="AJ31" i="61"/>
  <c r="AJ30" i="61"/>
  <c r="AJ29" i="61"/>
  <c r="AJ26" i="61"/>
  <c r="AJ22" i="61"/>
  <c r="AJ20" i="61"/>
  <c r="AJ19" i="61"/>
  <c r="AJ16" i="61"/>
  <c r="AJ15" i="61"/>
  <c r="AJ14" i="61"/>
  <c r="AJ13" i="61"/>
  <c r="AJ12" i="61"/>
  <c r="AJ9" i="61"/>
  <c r="AJ8" i="61"/>
  <c r="AJ7" i="61"/>
  <c r="AJ6" i="61"/>
  <c r="AJ5" i="61"/>
  <c r="AA31" i="61"/>
  <c r="Z31" i="61"/>
  <c r="AA30" i="61"/>
  <c r="Z30" i="61"/>
  <c r="AA29" i="61"/>
  <c r="Z29" i="61"/>
  <c r="AA26" i="61"/>
  <c r="Z26" i="61"/>
  <c r="AA22" i="61"/>
  <c r="Z22" i="61"/>
  <c r="AA20" i="61"/>
  <c r="Z20" i="61"/>
  <c r="AA19" i="61"/>
  <c r="Z19" i="61"/>
  <c r="AA16" i="61"/>
  <c r="Z16" i="61"/>
  <c r="AA15" i="61"/>
  <c r="Z15" i="61"/>
  <c r="AA14" i="61"/>
  <c r="Z14" i="61"/>
  <c r="AA13" i="61"/>
  <c r="Z13" i="61"/>
  <c r="AA12" i="61"/>
  <c r="Z12" i="61"/>
  <c r="AA9" i="61"/>
  <c r="Z9" i="61"/>
  <c r="Z8" i="61"/>
  <c r="AA7" i="61"/>
  <c r="Z7" i="61"/>
  <c r="AA6" i="61"/>
  <c r="AA5" i="61"/>
  <c r="Z5" i="61"/>
  <c r="R31" i="61"/>
  <c r="Q31" i="61"/>
  <c r="R30" i="61"/>
  <c r="Q30" i="61"/>
  <c r="R29" i="61"/>
  <c r="Q29" i="61"/>
  <c r="R26" i="61"/>
  <c r="Q26" i="61"/>
  <c r="R22" i="61"/>
  <c r="Q22" i="61"/>
  <c r="R20" i="61"/>
  <c r="Q20" i="61"/>
  <c r="R19" i="61"/>
  <c r="Q19" i="61"/>
  <c r="R16" i="61"/>
  <c r="Q16" i="61"/>
  <c r="R15" i="61"/>
  <c r="Q15" i="61"/>
  <c r="R14" i="61"/>
  <c r="Q14" i="61"/>
  <c r="R13" i="61"/>
  <c r="Q13" i="61"/>
  <c r="R12" i="61"/>
  <c r="Q12" i="61"/>
  <c r="R6" i="61"/>
  <c r="Q7" i="61"/>
  <c r="R7" i="61"/>
  <c r="Q8" i="61"/>
  <c r="Q9" i="61"/>
  <c r="R9" i="61"/>
  <c r="R5" i="61"/>
  <c r="Q5" i="61"/>
  <c r="AS6" i="61"/>
  <c r="AT6" i="61"/>
  <c r="AS7" i="61"/>
  <c r="AT7" i="61"/>
  <c r="AS8" i="61"/>
  <c r="AT8" i="61"/>
  <c r="AS9" i="61"/>
  <c r="AT9" i="61"/>
  <c r="AS12" i="61"/>
  <c r="AT12" i="61"/>
  <c r="AS13" i="61"/>
  <c r="AT13" i="61"/>
  <c r="AT14" i="61"/>
  <c r="AS15" i="61"/>
  <c r="AT15" i="61"/>
  <c r="AS16" i="61"/>
  <c r="AT16" i="61"/>
  <c r="AS19" i="61"/>
  <c r="AT19" i="61"/>
  <c r="AS20" i="61"/>
  <c r="AT20" i="61"/>
  <c r="AS22" i="61"/>
  <c r="AT22" i="61"/>
  <c r="AS26" i="61"/>
  <c r="AT26" i="61"/>
  <c r="AS29" i="61"/>
  <c r="AT29" i="61"/>
  <c r="AS30" i="61"/>
  <c r="AT30" i="61"/>
  <c r="AS31" i="61"/>
  <c r="AT31" i="61"/>
  <c r="AT5" i="61"/>
  <c r="AS5" i="61"/>
  <c r="BD31" i="61"/>
  <c r="BC31" i="61"/>
  <c r="BD30" i="61"/>
  <c r="BC30" i="61"/>
  <c r="BD29" i="61"/>
  <c r="BC29" i="61"/>
  <c r="BD26" i="61"/>
  <c r="BC26" i="61"/>
  <c r="BD22" i="61"/>
  <c r="BC22" i="61"/>
  <c r="BD20" i="61"/>
  <c r="BC20" i="61"/>
  <c r="BD19" i="61"/>
  <c r="BC19" i="61"/>
  <c r="BD16" i="61"/>
  <c r="BC16" i="61"/>
  <c r="BD15" i="61"/>
  <c r="BC15" i="61"/>
  <c r="BD14" i="61"/>
  <c r="BD13" i="61"/>
  <c r="BC13" i="61"/>
  <c r="BD12" i="61"/>
  <c r="BC12" i="61"/>
  <c r="BC6" i="61"/>
  <c r="BD6" i="61"/>
  <c r="BC7" i="61"/>
  <c r="BD7" i="61"/>
  <c r="BC8" i="61"/>
  <c r="BD8" i="61"/>
  <c r="BC9" i="61"/>
  <c r="BD9" i="61"/>
  <c r="BD5" i="61"/>
  <c r="BC5" i="61"/>
  <c r="F31" i="61"/>
  <c r="E31" i="61"/>
  <c r="F30" i="61"/>
  <c r="E30" i="61"/>
  <c r="F29" i="61"/>
  <c r="E29" i="61"/>
  <c r="F26" i="61"/>
  <c r="E26" i="61"/>
  <c r="F22" i="61"/>
  <c r="E22" i="61"/>
  <c r="F20" i="61"/>
  <c r="E20" i="61"/>
  <c r="F19" i="61"/>
  <c r="E19" i="61"/>
  <c r="F16" i="61"/>
  <c r="E16" i="61"/>
  <c r="F15" i="61"/>
  <c r="E15" i="61"/>
  <c r="F14" i="61"/>
  <c r="E14" i="61"/>
  <c r="F13" i="61"/>
  <c r="E13" i="61"/>
  <c r="F12" i="61"/>
  <c r="E12" i="61"/>
  <c r="F9" i="61"/>
  <c r="E9" i="61"/>
  <c r="E8" i="61"/>
  <c r="F7" i="61"/>
  <c r="E7" i="61"/>
  <c r="F6" i="61"/>
  <c r="E6" i="61"/>
  <c r="E5" i="61"/>
  <c r="F5" i="61"/>
  <c r="BA31" i="61"/>
  <c r="BA30" i="61"/>
  <c r="BA29" i="61"/>
  <c r="BA26" i="61"/>
  <c r="BA22" i="61"/>
  <c r="BA20" i="61"/>
  <c r="BA19" i="61"/>
  <c r="BA16" i="61"/>
  <c r="BA15" i="61"/>
  <c r="BA14" i="61"/>
  <c r="BA13" i="61"/>
  <c r="BA12" i="61"/>
  <c r="BA6" i="61"/>
  <c r="BA7" i="61"/>
  <c r="BA9" i="61"/>
  <c r="BA5" i="61"/>
  <c r="AZ5" i="61"/>
  <c r="AZ8" i="61"/>
  <c r="AZ31" i="61"/>
  <c r="AZ30" i="61"/>
  <c r="AZ29" i="61"/>
  <c r="AZ26" i="61"/>
  <c r="AZ22" i="61"/>
  <c r="AZ20" i="61"/>
  <c r="AZ19" i="61"/>
  <c r="AZ16" i="61"/>
  <c r="AZ15" i="61"/>
  <c r="AZ14" i="61"/>
  <c r="AZ13" i="61"/>
  <c r="AZ12" i="61"/>
  <c r="AZ9" i="61"/>
  <c r="AZ7" i="61"/>
  <c r="AZ6" i="61"/>
  <c r="BC14" i="73"/>
  <c r="BC14" i="61" s="1"/>
  <c r="AY8" i="52"/>
  <c r="AH8" i="61" s="1"/>
  <c r="I31" i="61"/>
  <c r="H31" i="61"/>
  <c r="I30" i="61"/>
  <c r="H30" i="61"/>
  <c r="I29" i="61"/>
  <c r="H29" i="61"/>
  <c r="I26" i="61"/>
  <c r="H26" i="61"/>
  <c r="I22" i="61"/>
  <c r="H22" i="61"/>
  <c r="I20" i="61"/>
  <c r="H20" i="61"/>
  <c r="I19" i="61"/>
  <c r="H19" i="61"/>
  <c r="I16" i="61"/>
  <c r="H16" i="61"/>
  <c r="I15" i="61"/>
  <c r="H15" i="61"/>
  <c r="I14" i="61"/>
  <c r="I13" i="61"/>
  <c r="H13" i="61"/>
  <c r="I12" i="61"/>
  <c r="H12" i="61"/>
  <c r="H6" i="61"/>
  <c r="I6" i="61"/>
  <c r="H7" i="61"/>
  <c r="I7" i="61"/>
  <c r="H8" i="61"/>
  <c r="I8" i="61"/>
  <c r="H9" i="61"/>
  <c r="I9" i="61"/>
  <c r="I5" i="61"/>
  <c r="H5" i="61"/>
  <c r="H14" i="73"/>
  <c r="H14" i="61" s="1"/>
  <c r="A32" i="73"/>
  <c r="A31" i="73"/>
  <c r="A30" i="73"/>
  <c r="A29" i="73"/>
  <c r="A28" i="73"/>
  <c r="A27" i="73"/>
  <c r="A26" i="73"/>
  <c r="A25" i="73"/>
  <c r="A24" i="73"/>
  <c r="A23" i="73"/>
  <c r="A22" i="73"/>
  <c r="A21" i="73"/>
  <c r="A20" i="73"/>
  <c r="A19" i="73"/>
  <c r="A18" i="73"/>
  <c r="A17" i="73"/>
  <c r="A16" i="73"/>
  <c r="A15" i="73"/>
  <c r="A14" i="73"/>
  <c r="A13" i="73"/>
  <c r="A12" i="73"/>
  <c r="A11" i="73"/>
  <c r="A10" i="73"/>
  <c r="A9" i="73"/>
  <c r="A8" i="73"/>
  <c r="A7" i="73"/>
  <c r="A6" i="73"/>
  <c r="A5" i="73"/>
  <c r="A4" i="73"/>
  <c r="A31" i="72"/>
  <c r="A30" i="72"/>
  <c r="A29" i="72"/>
  <c r="A28" i="72"/>
  <c r="A32" i="72"/>
  <c r="A27" i="72"/>
  <c r="A26" i="72"/>
  <c r="A25" i="72"/>
  <c r="A24" i="72"/>
  <c r="A23" i="72"/>
  <c r="A22" i="72"/>
  <c r="A20" i="72"/>
  <c r="A19" i="72"/>
  <c r="A18" i="72"/>
  <c r="A17" i="72"/>
  <c r="A16" i="72"/>
  <c r="A15" i="72"/>
  <c r="A14" i="72"/>
  <c r="A13" i="72"/>
  <c r="A12" i="72"/>
  <c r="A11" i="72"/>
  <c r="A10" i="72"/>
  <c r="A9" i="72"/>
  <c r="A8" i="72"/>
  <c r="A7" i="72"/>
  <c r="A6" i="72"/>
  <c r="A5" i="72"/>
  <c r="A4" i="72"/>
  <c r="V20" i="63"/>
  <c r="V14" i="63"/>
  <c r="P20" i="63"/>
  <c r="P14" i="63"/>
  <c r="J20" i="63"/>
  <c r="J14" i="63"/>
  <c r="AH20" i="63"/>
  <c r="AH14" i="63"/>
  <c r="D20" i="63"/>
  <c r="D14" i="63"/>
  <c r="D9" i="63"/>
  <c r="D6" i="63"/>
  <c r="AQ8" i="61" l="1"/>
  <c r="P8" i="61"/>
  <c r="F8" i="61"/>
  <c r="Y8" i="61"/>
  <c r="BA8" i="61"/>
  <c r="A32" i="63"/>
  <c r="A31" i="63"/>
  <c r="A30" i="63"/>
  <c r="A29" i="63"/>
  <c r="A28" i="63"/>
  <c r="A27" i="63"/>
  <c r="A26" i="63"/>
  <c r="A25" i="63"/>
  <c r="A24" i="63"/>
  <c r="A23" i="63"/>
  <c r="A22" i="63"/>
  <c r="A21" i="63"/>
  <c r="A20" i="63"/>
  <c r="A19" i="63"/>
  <c r="A18" i="63"/>
  <c r="A17" i="63"/>
  <c r="A16" i="63"/>
  <c r="A15" i="63"/>
  <c r="A13" i="63"/>
  <c r="A12" i="63"/>
  <c r="A11" i="63"/>
  <c r="A10" i="63"/>
  <c r="A9" i="63"/>
  <c r="A8" i="63"/>
  <c r="A7" i="63"/>
  <c r="A6" i="63"/>
  <c r="A5" i="63"/>
  <c r="A4" i="63"/>
  <c r="A32" i="62"/>
  <c r="A31" i="62"/>
  <c r="A30" i="62"/>
  <c r="A29" i="62"/>
  <c r="A28" i="62"/>
  <c r="A27" i="62"/>
  <c r="A26" i="62"/>
  <c r="A25" i="62"/>
  <c r="A24" i="62"/>
  <c r="A23" i="62"/>
  <c r="A22" i="62"/>
  <c r="A21" i="62"/>
  <c r="A20" i="62"/>
  <c r="A19" i="62"/>
  <c r="A18" i="62"/>
  <c r="A17" i="62"/>
  <c r="A16" i="62"/>
  <c r="A15" i="62"/>
  <c r="A14" i="62"/>
  <c r="A13" i="62"/>
  <c r="A12" i="62"/>
  <c r="A11" i="62"/>
  <c r="A10" i="62"/>
  <c r="A9" i="62"/>
  <c r="A8" i="62"/>
  <c r="A7" i="62"/>
  <c r="A6" i="62"/>
  <c r="A5" i="62"/>
  <c r="A4" i="62"/>
  <c r="A21" i="61"/>
  <c r="A32" i="61"/>
  <c r="A31" i="61"/>
  <c r="A30" i="61"/>
  <c r="A29" i="61"/>
  <c r="A28" i="61"/>
  <c r="A27" i="61"/>
  <c r="A26" i="61"/>
  <c r="A25" i="61"/>
  <c r="A24" i="61"/>
  <c r="A23" i="61"/>
  <c r="A22" i="61"/>
  <c r="A20" i="61"/>
  <c r="A19" i="61"/>
  <c r="A18" i="61"/>
  <c r="A17" i="61"/>
  <c r="A16" i="61"/>
  <c r="A15" i="61"/>
  <c r="A14" i="61"/>
  <c r="A13" i="61"/>
  <c r="A12" i="61"/>
  <c r="A11" i="61"/>
  <c r="A10" i="61"/>
  <c r="A9" i="61"/>
  <c r="A8" i="61"/>
  <c r="A7" i="61"/>
  <c r="A6" i="61"/>
  <c r="A5" i="61"/>
  <c r="A4" i="61"/>
  <c r="A31" i="57"/>
  <c r="A30" i="57"/>
  <c r="A29" i="57"/>
  <c r="A28" i="57"/>
  <c r="A27" i="57"/>
  <c r="A26" i="57"/>
  <c r="A25" i="57"/>
  <c r="A24" i="57"/>
  <c r="A23" i="57"/>
  <c r="A22" i="57"/>
  <c r="A21" i="57"/>
  <c r="A20" i="57"/>
  <c r="A19" i="57"/>
  <c r="A18" i="57"/>
  <c r="A17" i="57"/>
  <c r="A16" i="57"/>
  <c r="A15" i="57"/>
  <c r="A14" i="57"/>
  <c r="A13" i="57"/>
  <c r="A12" i="57"/>
  <c r="A11" i="57"/>
  <c r="A10" i="57"/>
  <c r="A9" i="57"/>
  <c r="A8" i="57"/>
  <c r="A7" i="57"/>
  <c r="A6" i="57"/>
  <c r="A5" i="57"/>
  <c r="A4" i="57"/>
  <c r="A3" i="57"/>
  <c r="I22" i="72" l="1"/>
  <c r="D6" i="52"/>
  <c r="D8" i="52"/>
  <c r="AT5" i="52"/>
  <c r="AL5" i="52"/>
  <c r="L21" i="72" l="1"/>
  <c r="I21" i="72"/>
  <c r="C44" i="56"/>
  <c r="K21" i="72" l="1"/>
  <c r="CG9" i="72"/>
  <c r="CZ16" i="72"/>
  <c r="DA16" i="72" s="1"/>
  <c r="AT31" i="52"/>
  <c r="AP31" i="52"/>
  <c r="AL31" i="52"/>
  <c r="AT30" i="52"/>
  <c r="AP30" i="52"/>
  <c r="AT29" i="52"/>
  <c r="AP29" i="52"/>
  <c r="AL26" i="52"/>
  <c r="AL22" i="52"/>
  <c r="AL20" i="52"/>
  <c r="AT19" i="52"/>
  <c r="AL19" i="52"/>
  <c r="AT16" i="52"/>
  <c r="AP16" i="52"/>
  <c r="AL16" i="52"/>
  <c r="AT15" i="52"/>
  <c r="AP15" i="52"/>
  <c r="AL15" i="52"/>
  <c r="AT14" i="52"/>
  <c r="AP14" i="52"/>
  <c r="AT13" i="52"/>
  <c r="AP13" i="52"/>
  <c r="AL6" i="52"/>
  <c r="AT6" i="52"/>
  <c r="AL7" i="52"/>
  <c r="AT7" i="52"/>
  <c r="AL8" i="52"/>
  <c r="AP8" i="52"/>
  <c r="AL9" i="52"/>
  <c r="AP9" i="52"/>
  <c r="J21" i="72" l="1"/>
  <c r="AF21" i="72" s="1"/>
  <c r="AR21" i="72"/>
  <c r="AT21" i="72"/>
  <c r="CA21" i="72"/>
  <c r="BY21" i="72"/>
  <c r="V21" i="72"/>
  <c r="U21" i="72"/>
  <c r="AQ21" i="72"/>
  <c r="BX21" i="72"/>
  <c r="I26" i="72"/>
  <c r="L25" i="72"/>
  <c r="N22" i="72"/>
  <c r="M22" i="72"/>
  <c r="N20" i="72"/>
  <c r="M20" i="72"/>
  <c r="N19" i="72"/>
  <c r="M19" i="72"/>
  <c r="N18" i="72"/>
  <c r="M18" i="72"/>
  <c r="N16" i="72"/>
  <c r="M16" i="72"/>
  <c r="I16" i="72"/>
  <c r="N15" i="72"/>
  <c r="M15" i="72"/>
  <c r="I15" i="72"/>
  <c r="N14" i="72"/>
  <c r="M14" i="72"/>
  <c r="I14" i="72"/>
  <c r="N13" i="72"/>
  <c r="M13" i="72"/>
  <c r="I13" i="72"/>
  <c r="N12" i="72"/>
  <c r="M12" i="72"/>
  <c r="I12" i="72"/>
  <c r="N9" i="72"/>
  <c r="M9" i="72"/>
  <c r="I9" i="72"/>
  <c r="N8" i="72"/>
  <c r="M8" i="72"/>
  <c r="I8" i="72"/>
  <c r="N7" i="72"/>
  <c r="M7" i="72"/>
  <c r="I7" i="72"/>
  <c r="N6" i="72"/>
  <c r="M6" i="72"/>
  <c r="I6" i="72"/>
  <c r="N5" i="72"/>
  <c r="M5" i="72"/>
  <c r="AU21" i="72" l="1"/>
  <c r="CJ13" i="72"/>
  <c r="CL13" i="72"/>
  <c r="Z13" i="72"/>
  <c r="BE13" i="72"/>
  <c r="BF13" i="72" s="1"/>
  <c r="Y13" i="72"/>
  <c r="BC13" i="72"/>
  <c r="BD13" i="72" s="1"/>
  <c r="Z14" i="72"/>
  <c r="Y14" i="72"/>
  <c r="BE14" i="72"/>
  <c r="CL14" i="72"/>
  <c r="BC14" i="72"/>
  <c r="CJ14" i="72"/>
  <c r="Z9" i="72"/>
  <c r="CM9" i="72" s="1"/>
  <c r="BC9" i="72"/>
  <c r="BE9" i="72"/>
  <c r="Y9" i="72"/>
  <c r="CL9" i="72"/>
  <c r="CJ9" i="72"/>
  <c r="CB21" i="72"/>
  <c r="Z6" i="72"/>
  <c r="BE6" i="72"/>
  <c r="Y6" i="72"/>
  <c r="CJ6" i="72"/>
  <c r="BC6" i="72"/>
  <c r="CL6" i="72"/>
  <c r="CL22" i="72"/>
  <c r="BC22" i="72"/>
  <c r="Y22" i="72"/>
  <c r="BD22" i="72" s="1"/>
  <c r="CJ22" i="72"/>
  <c r="BE22" i="72"/>
  <c r="Z22" i="72"/>
  <c r="Y7" i="72"/>
  <c r="BE7" i="72"/>
  <c r="BC7" i="72"/>
  <c r="CL7" i="72"/>
  <c r="CJ7" i="72"/>
  <c r="Z7" i="72"/>
  <c r="Z12" i="72"/>
  <c r="BE12" i="72"/>
  <c r="Y12" i="72"/>
  <c r="CL12" i="72"/>
  <c r="BC12" i="72"/>
  <c r="CJ12" i="72"/>
  <c r="BC15" i="72"/>
  <c r="BE15" i="72"/>
  <c r="BF15" i="72" s="1"/>
  <c r="CL15" i="72"/>
  <c r="CM15" i="72" s="1"/>
  <c r="Y15" i="72"/>
  <c r="CJ15" i="72"/>
  <c r="Z15" i="72"/>
  <c r="BZ21" i="72"/>
  <c r="AS21" i="72"/>
  <c r="Z19" i="72"/>
  <c r="CJ19" i="72"/>
  <c r="Y19" i="72"/>
  <c r="BE19" i="72"/>
  <c r="CL19" i="72"/>
  <c r="BC19" i="72"/>
  <c r="CJ5" i="72"/>
  <c r="Z5" i="72"/>
  <c r="Y5" i="72"/>
  <c r="BE5" i="72"/>
  <c r="BC5" i="72"/>
  <c r="CL5" i="72"/>
  <c r="BE8" i="72"/>
  <c r="Y8" i="72"/>
  <c r="CL8" i="72"/>
  <c r="CJ8" i="72"/>
  <c r="BC8" i="72"/>
  <c r="Z8" i="72"/>
  <c r="CL20" i="72"/>
  <c r="Y20" i="72"/>
  <c r="CJ20" i="72"/>
  <c r="BE20" i="72"/>
  <c r="Z20" i="72"/>
  <c r="BF20" i="72" s="1"/>
  <c r="BC20" i="72"/>
  <c r="AG21" i="72"/>
  <c r="Q21" i="72"/>
  <c r="AH21" i="72" s="1"/>
  <c r="R21" i="72"/>
  <c r="L15" i="72"/>
  <c r="L14" i="72"/>
  <c r="L8" i="72"/>
  <c r="L6" i="72"/>
  <c r="K6" i="72"/>
  <c r="L16" i="72"/>
  <c r="L9" i="72"/>
  <c r="BB5" i="72"/>
  <c r="BB21" i="72"/>
  <c r="CI26" i="72"/>
  <c r="BB26" i="72"/>
  <c r="CI5" i="72"/>
  <c r="CI7" i="72"/>
  <c r="BB7" i="72"/>
  <c r="BB15" i="72"/>
  <c r="CI15" i="72"/>
  <c r="CI22" i="72"/>
  <c r="BB22" i="72"/>
  <c r="CI8" i="72"/>
  <c r="BB8" i="72"/>
  <c r="CI12" i="72"/>
  <c r="BB12" i="72"/>
  <c r="CI20" i="72"/>
  <c r="BB20" i="72"/>
  <c r="CI19" i="72"/>
  <c r="BB19" i="72"/>
  <c r="BB13" i="72"/>
  <c r="CI13" i="72"/>
  <c r="CI6" i="72"/>
  <c r="BB6" i="72"/>
  <c r="CI9" i="72"/>
  <c r="BB9" i="72"/>
  <c r="BB14" i="72"/>
  <c r="CI14" i="72"/>
  <c r="L22" i="72"/>
  <c r="L5" i="72"/>
  <c r="L7" i="72"/>
  <c r="K14" i="72"/>
  <c r="K16" i="72"/>
  <c r="J16" i="72" s="1"/>
  <c r="K5" i="72"/>
  <c r="K26" i="72"/>
  <c r="K13" i="72"/>
  <c r="K7" i="72"/>
  <c r="K12" i="72"/>
  <c r="K22" i="72"/>
  <c r="L13" i="72"/>
  <c r="L26" i="72"/>
  <c r="L12" i="72"/>
  <c r="CM5" i="72" l="1"/>
  <c r="BF9" i="72"/>
  <c r="BF22" i="72"/>
  <c r="CK6" i="72"/>
  <c r="CM20" i="72"/>
  <c r="CK13" i="72"/>
  <c r="CK8" i="72"/>
  <c r="CK22" i="72"/>
  <c r="CM13" i="72"/>
  <c r="BF8" i="72"/>
  <c r="CM19" i="72"/>
  <c r="CK15" i="72"/>
  <c r="CK12" i="72"/>
  <c r="BD12" i="72"/>
  <c r="CK9" i="72"/>
  <c r="BD9" i="72"/>
  <c r="CK14" i="72"/>
  <c r="BD14" i="72"/>
  <c r="CK20" i="72"/>
  <c r="CK19" i="72"/>
  <c r="BD19" i="72"/>
  <c r="CM12" i="72"/>
  <c r="BF12" i="72"/>
  <c r="BD6" i="72"/>
  <c r="AT26" i="72"/>
  <c r="AR26" i="72"/>
  <c r="V26" i="72"/>
  <c r="U26" i="72"/>
  <c r="CA26" i="72"/>
  <c r="BY26" i="72"/>
  <c r="CM14" i="72"/>
  <c r="BF14" i="72"/>
  <c r="U22" i="72"/>
  <c r="AT22" i="72"/>
  <c r="CA22" i="72"/>
  <c r="AR22" i="72"/>
  <c r="BY22" i="72"/>
  <c r="V22" i="72"/>
  <c r="BY6" i="72"/>
  <c r="CA6" i="72"/>
  <c r="V6" i="72"/>
  <c r="U6" i="72"/>
  <c r="AT6" i="72"/>
  <c r="AR6" i="72"/>
  <c r="BD5" i="72"/>
  <c r="CK5" i="72"/>
  <c r="BF19" i="72"/>
  <c r="BD15" i="72"/>
  <c r="CK7" i="72"/>
  <c r="CM6" i="72"/>
  <c r="BF6" i="72"/>
  <c r="BD20" i="72"/>
  <c r="BF5" i="72"/>
  <c r="CM7" i="72"/>
  <c r="BY7" i="72"/>
  <c r="CA7" i="72"/>
  <c r="V7" i="72"/>
  <c r="U7" i="72"/>
  <c r="AT7" i="72"/>
  <c r="AR7" i="72"/>
  <c r="CM8" i="72"/>
  <c r="BD7" i="72"/>
  <c r="CM22" i="72"/>
  <c r="CA5" i="72"/>
  <c r="BY5" i="72"/>
  <c r="CZ5" i="72" s="1"/>
  <c r="V5" i="72"/>
  <c r="AR5" i="72"/>
  <c r="U5" i="72"/>
  <c r="AT5" i="72"/>
  <c r="AR14" i="72"/>
  <c r="V14" i="72"/>
  <c r="U14" i="72"/>
  <c r="AT14" i="72"/>
  <c r="CA14" i="72"/>
  <c r="BY14" i="72"/>
  <c r="V12" i="72"/>
  <c r="U12" i="72"/>
  <c r="CA12" i="72"/>
  <c r="AT12" i="72"/>
  <c r="BY12" i="72"/>
  <c r="AR12" i="72"/>
  <c r="AT13" i="72"/>
  <c r="CA13" i="72"/>
  <c r="AR13" i="72"/>
  <c r="BY13" i="72"/>
  <c r="V13" i="72"/>
  <c r="U13" i="72"/>
  <c r="BD8" i="72"/>
  <c r="BF7" i="72"/>
  <c r="BX22" i="72"/>
  <c r="AQ22" i="72"/>
  <c r="J22" i="72"/>
  <c r="AQ12" i="72"/>
  <c r="BX12" i="72"/>
  <c r="BX14" i="72"/>
  <c r="AQ14" i="72"/>
  <c r="AQ6" i="72"/>
  <c r="BX6" i="72"/>
  <c r="AQ7" i="72"/>
  <c r="BX7" i="72"/>
  <c r="BX26" i="72"/>
  <c r="AQ26" i="72"/>
  <c r="BX13" i="72"/>
  <c r="AQ13" i="72"/>
  <c r="BX5" i="72"/>
  <c r="AQ5" i="72"/>
  <c r="J7" i="72"/>
  <c r="CI25" i="72"/>
  <c r="BB25" i="72"/>
  <c r="J6" i="72"/>
  <c r="J5" i="72"/>
  <c r="J13" i="72"/>
  <c r="J19" i="72"/>
  <c r="J14" i="72"/>
  <c r="J12" i="72"/>
  <c r="K15" i="72"/>
  <c r="K9" i="72"/>
  <c r="K8" i="72"/>
  <c r="J26" i="72"/>
  <c r="AS12" i="72" l="1"/>
  <c r="CB6" i="72"/>
  <c r="AS6" i="72"/>
  <c r="AS7" i="72"/>
  <c r="CB12" i="72"/>
  <c r="CB26" i="72"/>
  <c r="AU26" i="72"/>
  <c r="CB7" i="72"/>
  <c r="AU7" i="72"/>
  <c r="AU6" i="72"/>
  <c r="BZ22" i="72"/>
  <c r="AS22" i="72"/>
  <c r="BZ14" i="72"/>
  <c r="AS14" i="72"/>
  <c r="R13" i="72"/>
  <c r="Q13" i="72"/>
  <c r="BP13" i="72"/>
  <c r="AG13" i="72"/>
  <c r="R26" i="72"/>
  <c r="Q26" i="72"/>
  <c r="AG26" i="72"/>
  <c r="BP26" i="72"/>
  <c r="CZ26" i="72"/>
  <c r="V8" i="72"/>
  <c r="U8" i="72"/>
  <c r="CA8" i="72"/>
  <c r="AT8" i="72"/>
  <c r="AR8" i="72"/>
  <c r="BY8" i="72"/>
  <c r="AS13" i="72"/>
  <c r="BZ13" i="72"/>
  <c r="CB14" i="72"/>
  <c r="AU14" i="72"/>
  <c r="BZ7" i="72"/>
  <c r="BZ6" i="72"/>
  <c r="CA9" i="72"/>
  <c r="AR9" i="72"/>
  <c r="AT9" i="72"/>
  <c r="BY9" i="72"/>
  <c r="U9" i="72"/>
  <c r="V9" i="72"/>
  <c r="CB22" i="72"/>
  <c r="AU22" i="72"/>
  <c r="CB13" i="72"/>
  <c r="AU13" i="72"/>
  <c r="V15" i="72"/>
  <c r="AT15" i="72"/>
  <c r="U15" i="72"/>
  <c r="CA15" i="72"/>
  <c r="AR15" i="72"/>
  <c r="BY15" i="72"/>
  <c r="BZ12" i="72"/>
  <c r="BP14" i="72"/>
  <c r="AG14" i="72"/>
  <c r="CZ14" i="72"/>
  <c r="Q14" i="72"/>
  <c r="R14" i="72"/>
  <c r="R19" i="72"/>
  <c r="BP19" i="72"/>
  <c r="AG19" i="72"/>
  <c r="Q19" i="72"/>
  <c r="CB5" i="72"/>
  <c r="AU5" i="72"/>
  <c r="AF12" i="72"/>
  <c r="CZ12" i="72"/>
  <c r="BP12" i="72"/>
  <c r="AG12" i="72"/>
  <c r="R12" i="72"/>
  <c r="Q12" i="72"/>
  <c r="R22" i="72"/>
  <c r="Q22" i="72"/>
  <c r="BP22" i="72"/>
  <c r="AG22" i="72"/>
  <c r="AU12" i="72"/>
  <c r="AS5" i="72"/>
  <c r="BZ5" i="72"/>
  <c r="BZ26" i="72"/>
  <c r="AS26" i="72"/>
  <c r="AF5" i="72"/>
  <c r="BM5" i="72"/>
  <c r="BX9" i="72"/>
  <c r="AQ9" i="72"/>
  <c r="AF6" i="72"/>
  <c r="BM6" i="72"/>
  <c r="BX8" i="72"/>
  <c r="AQ8" i="72"/>
  <c r="AF14" i="72"/>
  <c r="BM14" i="72"/>
  <c r="AF19" i="72"/>
  <c r="BM19" i="72"/>
  <c r="AF7" i="72"/>
  <c r="BM7" i="72"/>
  <c r="AF22" i="72"/>
  <c r="BM22" i="72"/>
  <c r="BX15" i="72"/>
  <c r="AQ15" i="72"/>
  <c r="AF13" i="72"/>
  <c r="BM13" i="72"/>
  <c r="AF26" i="72"/>
  <c r="BM26" i="72"/>
  <c r="CZ19" i="72"/>
  <c r="CZ6" i="72"/>
  <c r="CZ7" i="72"/>
  <c r="J25" i="72"/>
  <c r="J15" i="72"/>
  <c r="J9" i="72"/>
  <c r="J8" i="72"/>
  <c r="C7" i="56"/>
  <c r="J30" i="52"/>
  <c r="K30" i="52" s="1"/>
  <c r="J29" i="52"/>
  <c r="K29" i="52" s="1"/>
  <c r="E24" i="56"/>
  <c r="E25" i="56"/>
  <c r="E23" i="56"/>
  <c r="K26" i="52"/>
  <c r="X26" i="52" s="1"/>
  <c r="Y26" i="52" s="1"/>
  <c r="C26" i="61" s="1"/>
  <c r="AH26" i="72" l="1"/>
  <c r="AJ13" i="72"/>
  <c r="AL13" i="72" s="1"/>
  <c r="AM13" i="72" s="1"/>
  <c r="BO22" i="72"/>
  <c r="AU15" i="72"/>
  <c r="BQ14" i="72"/>
  <c r="CZ22" i="72"/>
  <c r="BO12" i="72"/>
  <c r="BO14" i="72"/>
  <c r="BZ8" i="72"/>
  <c r="BO13" i="72"/>
  <c r="BQ12" i="72"/>
  <c r="BQ22" i="72"/>
  <c r="AJ22" i="72"/>
  <c r="AJ26" i="72"/>
  <c r="AK26" i="72" s="1"/>
  <c r="BQ26" i="72"/>
  <c r="AJ14" i="72"/>
  <c r="BZ15" i="72"/>
  <c r="AS15" i="72"/>
  <c r="BZ9" i="72"/>
  <c r="AS9" i="72"/>
  <c r="AU8" i="72"/>
  <c r="CB8" i="72"/>
  <c r="AH19" i="72"/>
  <c r="BO19" i="72"/>
  <c r="AH12" i="72"/>
  <c r="AG8" i="72"/>
  <c r="R8" i="72"/>
  <c r="Q8" i="72"/>
  <c r="BP8" i="72"/>
  <c r="AJ12" i="72"/>
  <c r="AH14" i="72"/>
  <c r="CB15" i="72"/>
  <c r="AU9" i="72"/>
  <c r="Q9" i="72"/>
  <c r="BP9" i="72"/>
  <c r="AG9" i="72"/>
  <c r="R9" i="72"/>
  <c r="AH13" i="72"/>
  <c r="R15" i="72"/>
  <c r="CZ15" i="72"/>
  <c r="Q15" i="72"/>
  <c r="BP15" i="72"/>
  <c r="AG15" i="72"/>
  <c r="CZ13" i="72"/>
  <c r="AJ19" i="72"/>
  <c r="BQ19" i="72"/>
  <c r="CB9" i="72"/>
  <c r="AS8" i="72"/>
  <c r="BQ13" i="72"/>
  <c r="AG25" i="72"/>
  <c r="Q25" i="72"/>
  <c r="R25" i="72"/>
  <c r="BP25" i="72"/>
  <c r="AH22" i="72"/>
  <c r="BO26" i="72"/>
  <c r="AF25" i="72"/>
  <c r="BM25" i="72"/>
  <c r="AF8" i="72"/>
  <c r="BM8" i="72"/>
  <c r="AF15" i="72"/>
  <c r="BM15" i="72"/>
  <c r="AF9" i="72"/>
  <c r="BM9" i="72"/>
  <c r="AF30" i="52"/>
  <c r="AG30" i="52" s="1"/>
  <c r="AH30" i="52" s="1"/>
  <c r="G30" i="61" s="1"/>
  <c r="AB30" i="52"/>
  <c r="AC30" i="52" s="1"/>
  <c r="AB29" i="52"/>
  <c r="AC29" i="52" s="1"/>
  <c r="AF29" i="52"/>
  <c r="AG29" i="52" s="1"/>
  <c r="AH29" i="52" s="1"/>
  <c r="G29" i="61" s="1"/>
  <c r="Z26" i="52"/>
  <c r="AQ30" i="52"/>
  <c r="AU30" i="52"/>
  <c r="AM26" i="52"/>
  <c r="CT26" i="72"/>
  <c r="CU26" i="72" s="1"/>
  <c r="AQ29" i="52"/>
  <c r="AU29" i="52"/>
  <c r="CZ21" i="72"/>
  <c r="C61" i="56"/>
  <c r="C62" i="56" s="1"/>
  <c r="C63" i="56" s="1"/>
  <c r="C64" i="56" s="1"/>
  <c r="C65" i="56" s="1"/>
  <c r="C66" i="56" s="1"/>
  <c r="C67" i="56" s="1"/>
  <c r="C68" i="56" s="1"/>
  <c r="C69" i="56" s="1"/>
  <c r="C70" i="56" s="1"/>
  <c r="C71" i="56" s="1"/>
  <c r="C72" i="56" s="1"/>
  <c r="C73" i="56" s="1"/>
  <c r="C74" i="56" s="1"/>
  <c r="C75" i="56" s="1"/>
  <c r="C76" i="56" s="1"/>
  <c r="C77" i="56" s="1"/>
  <c r="C78" i="56" s="1"/>
  <c r="C79" i="56" s="1"/>
  <c r="C80" i="56" s="1"/>
  <c r="C81" i="56" s="1"/>
  <c r="C82" i="56" s="1"/>
  <c r="C83" i="56" s="1"/>
  <c r="C84" i="56" s="1"/>
  <c r="C85" i="56" s="1"/>
  <c r="C59" i="56"/>
  <c r="C58" i="56" s="1"/>
  <c r="C57" i="56" s="1"/>
  <c r="C56" i="56" s="1"/>
  <c r="C55" i="56" s="1"/>
  <c r="C43" i="56"/>
  <c r="D43" i="56" s="1"/>
  <c r="D31" i="52"/>
  <c r="D30" i="52"/>
  <c r="D29" i="52"/>
  <c r="D22" i="52"/>
  <c r="D20" i="52"/>
  <c r="D19" i="52"/>
  <c r="D9" i="52"/>
  <c r="D7" i="52"/>
  <c r="D5" i="52"/>
  <c r="D16" i="52"/>
  <c r="D15" i="52"/>
  <c r="D14" i="52"/>
  <c r="D13" i="52"/>
  <c r="D12" i="52"/>
  <c r="R24" i="52"/>
  <c r="Q33" i="52"/>
  <c r="S33" i="52"/>
  <c r="D33" i="52"/>
  <c r="F26" i="52" s="1"/>
  <c r="C47" i="56"/>
  <c r="D47" i="56" s="1"/>
  <c r="C45" i="56"/>
  <c r="D45" i="56" s="1"/>
  <c r="D44" i="56"/>
  <c r="T4" i="52"/>
  <c r="D42" i="56"/>
  <c r="BO25" i="72" l="1"/>
  <c r="AH8" i="72"/>
  <c r="BO8" i="72"/>
  <c r="BQ25" i="72"/>
  <c r="AH25" i="72"/>
  <c r="BO9" i="72"/>
  <c r="AJ8" i="72"/>
  <c r="BQ9" i="72"/>
  <c r="AJ9" i="72"/>
  <c r="AJ15" i="72"/>
  <c r="AL15" i="72" s="1"/>
  <c r="AM15" i="72" s="1"/>
  <c r="BQ15" i="72"/>
  <c r="AJ25" i="72"/>
  <c r="CZ8" i="72"/>
  <c r="BO15" i="72"/>
  <c r="AH15" i="72"/>
  <c r="AH9" i="72"/>
  <c r="BQ8" i="72"/>
  <c r="BS8" i="72" s="1"/>
  <c r="BT8" i="72" s="1"/>
  <c r="AL26" i="72"/>
  <c r="AM26" i="72" s="1"/>
  <c r="AK13" i="72"/>
  <c r="C54" i="56"/>
  <c r="AL19" i="72"/>
  <c r="AM19" i="72" s="1"/>
  <c r="AK19" i="72"/>
  <c r="AK14" i="72"/>
  <c r="AL14" i="72"/>
  <c r="AM14" i="72" s="1"/>
  <c r="CZ25" i="72"/>
  <c r="AL22" i="72"/>
  <c r="AM22" i="72" s="1"/>
  <c r="AK22" i="72"/>
  <c r="AK12" i="72"/>
  <c r="AL12" i="72"/>
  <c r="AM12" i="72" s="1"/>
  <c r="CZ9" i="72"/>
  <c r="AD29" i="52"/>
  <c r="D29" i="61"/>
  <c r="AD30" i="52"/>
  <c r="D30" i="61"/>
  <c r="CV26" i="72"/>
  <c r="CW26" i="72"/>
  <c r="CX26" i="72" s="1"/>
  <c r="U33" i="52"/>
  <c r="U28" i="52"/>
  <c r="U11" i="52"/>
  <c r="U4" i="52"/>
  <c r="U24" i="52"/>
  <c r="U18" i="52"/>
  <c r="F5" i="52"/>
  <c r="C46" i="56"/>
  <c r="D46" i="56" s="1"/>
  <c r="AK15" i="72" l="1"/>
  <c r="BR8" i="72"/>
  <c r="C50" i="56"/>
  <c r="I30" i="56" s="1"/>
  <c r="C52" i="56"/>
  <c r="AL25" i="72"/>
  <c r="AM25" i="72" s="1"/>
  <c r="AK25" i="72"/>
  <c r="AL9" i="72"/>
  <c r="AM9" i="72" s="1"/>
  <c r="AK9" i="72"/>
  <c r="J5" i="52"/>
  <c r="K5" i="52" s="1"/>
  <c r="CT5" i="72" s="1"/>
  <c r="H33" i="56" l="1"/>
  <c r="H30" i="56"/>
  <c r="H31" i="56"/>
  <c r="H32" i="56"/>
  <c r="I31" i="56"/>
  <c r="I32" i="56"/>
  <c r="I33" i="56"/>
  <c r="X5" i="52"/>
  <c r="Y5" i="52" s="1"/>
  <c r="C5" i="61" s="1"/>
  <c r="AF5" i="52"/>
  <c r="AG5" i="52" s="1"/>
  <c r="AH5" i="52" s="1"/>
  <c r="G5" i="61" s="1"/>
  <c r="CU5" i="72"/>
  <c r="AM5" i="52"/>
  <c r="AU5" i="52"/>
  <c r="AB7" i="72"/>
  <c r="DA7" i="72" s="1"/>
  <c r="BM21" i="62" l="1"/>
  <c r="AB6" i="72"/>
  <c r="DA6" i="72" s="1"/>
  <c r="Z5" i="52"/>
  <c r="CV5" i="72"/>
  <c r="CW5" i="72"/>
  <c r="CX5" i="72" s="1"/>
  <c r="BH20" i="72"/>
  <c r="BI20" i="72" s="1"/>
  <c r="BG8" i="72"/>
  <c r="BH14" i="72"/>
  <c r="BI14" i="72" s="1"/>
  <c r="BG19" i="72"/>
  <c r="BH13" i="72"/>
  <c r="BI13" i="72" s="1"/>
  <c r="BH22" i="72"/>
  <c r="BI22" i="72" s="1"/>
  <c r="BH6" i="72"/>
  <c r="BI6" i="72" s="1"/>
  <c r="BG15" i="72"/>
  <c r="BH12" i="72"/>
  <c r="BI12" i="72" s="1"/>
  <c r="BG5" i="72"/>
  <c r="BG26" i="72"/>
  <c r="BH9" i="72"/>
  <c r="BI9" i="72" s="1"/>
  <c r="BG7" i="72"/>
  <c r="AB5" i="72"/>
  <c r="DA5" i="72" s="1"/>
  <c r="AB15" i="72"/>
  <c r="DA15" i="72" s="1"/>
  <c r="AB19" i="72"/>
  <c r="DA19" i="72" s="1"/>
  <c r="AB26" i="72"/>
  <c r="DA26" i="72" s="1"/>
  <c r="AB14" i="72"/>
  <c r="DA14" i="72" s="1"/>
  <c r="AB9" i="72"/>
  <c r="DA9" i="72" s="1"/>
  <c r="AB12" i="72"/>
  <c r="DA12" i="72" s="1"/>
  <c r="AB8" i="72"/>
  <c r="DA8" i="72" s="1"/>
  <c r="AB13" i="72"/>
  <c r="DA13" i="72" s="1"/>
  <c r="AB22" i="72"/>
  <c r="DA22" i="72" s="1"/>
  <c r="AB25" i="72" l="1"/>
  <c r="DA25" i="72" s="1"/>
  <c r="BG20" i="72"/>
  <c r="BG14" i="72"/>
  <c r="BG22" i="72"/>
  <c r="BG9" i="72"/>
  <c r="BG6" i="72"/>
  <c r="BG12" i="72"/>
  <c r="BH8" i="72"/>
  <c r="BI8" i="72" s="1"/>
  <c r="BH15" i="72"/>
  <c r="BI15" i="72" s="1"/>
  <c r="CO5" i="72"/>
  <c r="CP5" i="72" s="1"/>
  <c r="CN5" i="72"/>
  <c r="AW19" i="72"/>
  <c r="AX19" i="72" s="1"/>
  <c r="CN26" i="72"/>
  <c r="CO26" i="72"/>
  <c r="CP26" i="72" s="1"/>
  <c r="CO15" i="72"/>
  <c r="CP15" i="72" s="1"/>
  <c r="CN15" i="72"/>
  <c r="CO13" i="72"/>
  <c r="CP13" i="72" s="1"/>
  <c r="CN13" i="72"/>
  <c r="BH5" i="72"/>
  <c r="BI5" i="72" s="1"/>
  <c r="BR22" i="72"/>
  <c r="BS22" i="72"/>
  <c r="BT22" i="72" s="1"/>
  <c r="CN19" i="72"/>
  <c r="CO19" i="72"/>
  <c r="CP19" i="72" s="1"/>
  <c r="AW13" i="72"/>
  <c r="AX13" i="72" s="1"/>
  <c r="BG13" i="72"/>
  <c r="AW14" i="72"/>
  <c r="AX14" i="72" s="1"/>
  <c r="BS13" i="72"/>
  <c r="BT13" i="72" s="1"/>
  <c r="BR13" i="72"/>
  <c r="CN6" i="72"/>
  <c r="CO6" i="72"/>
  <c r="CP6" i="72" s="1"/>
  <c r="CN8" i="72"/>
  <c r="CO8" i="72"/>
  <c r="CP8" i="72" s="1"/>
  <c r="CN20" i="72"/>
  <c r="CO20" i="72"/>
  <c r="CP20" i="72" s="1"/>
  <c r="AW15" i="72"/>
  <c r="AX15" i="72" s="1"/>
  <c r="AW8" i="72"/>
  <c r="AX8" i="72" s="1"/>
  <c r="AW6" i="72"/>
  <c r="AX6" i="72" s="1"/>
  <c r="BH26" i="72"/>
  <c r="BI26" i="72" s="1"/>
  <c r="BH19" i="72"/>
  <c r="BI19" i="72" s="1"/>
  <c r="BH7" i="72"/>
  <c r="BI7" i="72" s="1"/>
  <c r="BR26" i="72"/>
  <c r="BS26" i="72"/>
  <c r="BT26" i="72" s="1"/>
  <c r="CO9" i="72"/>
  <c r="CP9" i="72" s="1"/>
  <c r="CN9" i="72"/>
  <c r="BR14" i="72"/>
  <c r="BS14" i="72"/>
  <c r="BT14" i="72" s="1"/>
  <c r="BS19" i="72"/>
  <c r="BT19" i="72" s="1"/>
  <c r="BR19" i="72"/>
  <c r="CN12" i="72"/>
  <c r="CO12" i="72"/>
  <c r="CP12" i="72" s="1"/>
  <c r="CO22" i="72"/>
  <c r="CP22" i="72" s="1"/>
  <c r="CN22" i="72"/>
  <c r="BR15" i="72"/>
  <c r="BS15" i="72"/>
  <c r="BT15" i="72" s="1"/>
  <c r="CN7" i="72"/>
  <c r="CO7" i="72"/>
  <c r="CP7" i="72" s="1"/>
  <c r="CN14" i="72"/>
  <c r="CO14" i="72"/>
  <c r="CP14" i="72" s="1"/>
  <c r="BH25" i="72"/>
  <c r="BI25" i="72" s="1"/>
  <c r="AW12" i="72"/>
  <c r="AX12" i="72" s="1"/>
  <c r="AW7" i="72"/>
  <c r="AX7" i="72" s="1"/>
  <c r="AV26" i="72"/>
  <c r="AV9" i="72"/>
  <c r="AB21" i="72"/>
  <c r="DA21" i="72" s="1"/>
  <c r="Q6" i="61"/>
  <c r="R8" i="61"/>
  <c r="AA8" i="61"/>
  <c r="Z6" i="61"/>
  <c r="BR25" i="72" l="1"/>
  <c r="BS25" i="72"/>
  <c r="BT25" i="72" s="1"/>
  <c r="AW5" i="72"/>
  <c r="AX5" i="72" s="1"/>
  <c r="AV5" i="72"/>
  <c r="AW22" i="72"/>
  <c r="AX22" i="72" s="1"/>
  <c r="AV22" i="72"/>
  <c r="AV14" i="72"/>
  <c r="AV13" i="72"/>
  <c r="AV8" i="72"/>
  <c r="AV15" i="72"/>
  <c r="AV6" i="72"/>
  <c r="AV7" i="72"/>
  <c r="AV12" i="72"/>
  <c r="CC26" i="72"/>
  <c r="CD26" i="72"/>
  <c r="CE26" i="72" s="1"/>
  <c r="CO25" i="72"/>
  <c r="CP25" i="72" s="1"/>
  <c r="CN25" i="72"/>
  <c r="CC22" i="72"/>
  <c r="CD22" i="72"/>
  <c r="CE22" i="72" s="1"/>
  <c r="CD21" i="72"/>
  <c r="AW9" i="72"/>
  <c r="AX9" i="72" s="1"/>
  <c r="CC19" i="72"/>
  <c r="CD19" i="72"/>
  <c r="CE19" i="72" s="1"/>
  <c r="BG25" i="72"/>
  <c r="CC6" i="72"/>
  <c r="CD6" i="72"/>
  <c r="CE6" i="72" s="1"/>
  <c r="BR12" i="72"/>
  <c r="BS12" i="72"/>
  <c r="BT12" i="72" s="1"/>
  <c r="CC7" i="72"/>
  <c r="CD7" i="72"/>
  <c r="CE7" i="72" s="1"/>
  <c r="AW26" i="72"/>
  <c r="AX26" i="72" s="1"/>
  <c r="CC5" i="72"/>
  <c r="CD5" i="72"/>
  <c r="CE5" i="72" s="1"/>
  <c r="CC14" i="72"/>
  <c r="CD14" i="72"/>
  <c r="CE14" i="72" s="1"/>
  <c r="CD15" i="72"/>
  <c r="CE15" i="72" s="1"/>
  <c r="CC15" i="72"/>
  <c r="CC13" i="72"/>
  <c r="CD13" i="72"/>
  <c r="CE13" i="72" s="1"/>
  <c r="AV19" i="72"/>
  <c r="CC8" i="72"/>
  <c r="CD8" i="72"/>
  <c r="CE8" i="72" s="1"/>
  <c r="BR9" i="72"/>
  <c r="BS9" i="72"/>
  <c r="BT9" i="72" s="1"/>
  <c r="CC9" i="72"/>
  <c r="CD9" i="72"/>
  <c r="CE9" i="72" s="1"/>
  <c r="CC12" i="72"/>
  <c r="CD12" i="72"/>
  <c r="CE12" i="72" s="1"/>
  <c r="AS14" i="61"/>
  <c r="AW21" i="72" l="1"/>
  <c r="AV21" i="72"/>
  <c r="E26" i="56" l="1"/>
  <c r="E27" i="56" s="1"/>
  <c r="R28" i="52" l="1"/>
  <c r="R18" i="52"/>
  <c r="R11" i="52"/>
  <c r="R4" i="52"/>
  <c r="AE26" i="52"/>
  <c r="J31" i="52"/>
  <c r="K31" i="52" s="1"/>
  <c r="AN26" i="52"/>
  <c r="J22" i="52"/>
  <c r="K22" i="52" s="1"/>
  <c r="J20" i="52"/>
  <c r="J19" i="52"/>
  <c r="J16" i="52"/>
  <c r="K16" i="52" s="1"/>
  <c r="J15" i="52"/>
  <c r="K15" i="52" s="1"/>
  <c r="J14" i="52"/>
  <c r="K14" i="52" s="1"/>
  <c r="J13" i="52"/>
  <c r="K13" i="52" s="1"/>
  <c r="J12" i="52"/>
  <c r="K12" i="52" s="1"/>
  <c r="J6" i="52"/>
  <c r="J7" i="52"/>
  <c r="J8" i="52"/>
  <c r="J9" i="52"/>
  <c r="T28" i="52"/>
  <c r="E28" i="52"/>
  <c r="T24" i="52"/>
  <c r="E24" i="52"/>
  <c r="T18" i="52"/>
  <c r="E18" i="52"/>
  <c r="T11" i="52"/>
  <c r="E11" i="52"/>
  <c r="E4" i="52"/>
  <c r="AI14" i="63" l="1"/>
  <c r="AJ14" i="63" s="1"/>
  <c r="E14" i="63"/>
  <c r="F14" i="63" s="1"/>
  <c r="K14" i="63"/>
  <c r="Q14" i="63"/>
  <c r="W14" i="63"/>
  <c r="AM22" i="52"/>
  <c r="AN22" i="52" s="1"/>
  <c r="X22" i="52"/>
  <c r="Y22" i="52" s="1"/>
  <c r="AF13" i="52"/>
  <c r="AG13" i="52" s="1"/>
  <c r="AH13" i="52" s="1"/>
  <c r="G13" i="61" s="1"/>
  <c r="AB13" i="52"/>
  <c r="AC13" i="52" s="1"/>
  <c r="AB31" i="52"/>
  <c r="AC31" i="52" s="1"/>
  <c r="X31" i="52"/>
  <c r="Y31" i="52" s="1"/>
  <c r="AF31" i="52"/>
  <c r="AG31" i="52" s="1"/>
  <c r="AH31" i="52" s="1"/>
  <c r="G31" i="61" s="1"/>
  <c r="AF14" i="52"/>
  <c r="AG14" i="52" s="1"/>
  <c r="AH14" i="52" s="1"/>
  <c r="G14" i="61" s="1"/>
  <c r="AB14" i="52"/>
  <c r="AC14" i="52" s="1"/>
  <c r="AT26" i="52"/>
  <c r="AU26" i="52" s="1"/>
  <c r="AV26" i="52" s="1"/>
  <c r="AW26" i="52" s="1"/>
  <c r="AF26" i="52"/>
  <c r="AG26" i="52" s="1"/>
  <c r="AH26" i="52" s="1"/>
  <c r="G26" i="61" s="1"/>
  <c r="AB15" i="52"/>
  <c r="AC15" i="52" s="1"/>
  <c r="X15" i="52"/>
  <c r="Y15" i="52" s="1"/>
  <c r="AF15" i="52"/>
  <c r="AG15" i="52" s="1"/>
  <c r="AH15" i="52" s="1"/>
  <c r="G15" i="61" s="1"/>
  <c r="AF16" i="52"/>
  <c r="AG16" i="52" s="1"/>
  <c r="AH16" i="52" s="1"/>
  <c r="G16" i="61" s="1"/>
  <c r="AB16" i="52"/>
  <c r="AC16" i="52" s="1"/>
  <c r="X16" i="52"/>
  <c r="Y16" i="52" s="1"/>
  <c r="AN26" i="61"/>
  <c r="AX26" i="61"/>
  <c r="W12" i="52"/>
  <c r="CT12" i="72"/>
  <c r="CU12" i="72" s="1"/>
  <c r="AO26" i="52"/>
  <c r="AU13" i="52"/>
  <c r="AV13" i="52" s="1"/>
  <c r="AW13" i="52" s="1"/>
  <c r="AQ13" i="52"/>
  <c r="AR13" i="52" s="1"/>
  <c r="AM31" i="52"/>
  <c r="AN31" i="52" s="1"/>
  <c r="AQ31" i="52"/>
  <c r="AR31" i="52" s="1"/>
  <c r="AU31" i="52"/>
  <c r="AV31" i="52" s="1"/>
  <c r="AW31" i="52" s="1"/>
  <c r="AU14" i="52"/>
  <c r="AV14" i="52" s="1"/>
  <c r="AW14" i="52" s="1"/>
  <c r="AQ14" i="52"/>
  <c r="AU15" i="52"/>
  <c r="AV15" i="52" s="1"/>
  <c r="AW15" i="52" s="1"/>
  <c r="CT15" i="72"/>
  <c r="CU15" i="72" s="1"/>
  <c r="AQ15" i="52"/>
  <c r="AM15" i="52"/>
  <c r="AN15" i="52" s="1"/>
  <c r="AU16" i="52"/>
  <c r="AV16" i="52" s="1"/>
  <c r="AW16" i="52" s="1"/>
  <c r="CT16" i="72"/>
  <c r="CU16" i="72" s="1"/>
  <c r="AQ16" i="52"/>
  <c r="AR16" i="52" s="1"/>
  <c r="AM16" i="52"/>
  <c r="AN16" i="52" s="1"/>
  <c r="K7" i="52"/>
  <c r="K20" i="52"/>
  <c r="K6" i="52"/>
  <c r="K9" i="52"/>
  <c r="K8" i="52"/>
  <c r="K19" i="52"/>
  <c r="AR30" i="52"/>
  <c r="AV30" i="52"/>
  <c r="AW30" i="52" s="1"/>
  <c r="AR29" i="52"/>
  <c r="AV29" i="52"/>
  <c r="AW29" i="52" s="1"/>
  <c r="AN5" i="52"/>
  <c r="AX5" i="61" s="1"/>
  <c r="AV5" i="52"/>
  <c r="AW5" i="52" s="1"/>
  <c r="L13" i="52"/>
  <c r="CU13" i="72" s="1"/>
  <c r="L14" i="52"/>
  <c r="CU14" i="72" s="1"/>
  <c r="L22" i="52"/>
  <c r="CU22" i="72" s="1"/>
  <c r="L16" i="52"/>
  <c r="R33" i="52"/>
  <c r="T33" i="52"/>
  <c r="P5" i="52"/>
  <c r="P7" i="52"/>
  <c r="F7" i="52"/>
  <c r="P19" i="52"/>
  <c r="F19" i="52"/>
  <c r="P22" i="52"/>
  <c r="F22" i="52"/>
  <c r="P29" i="52"/>
  <c r="F29" i="52"/>
  <c r="P31" i="52"/>
  <c r="F31" i="52"/>
  <c r="P6" i="52"/>
  <c r="F6" i="52"/>
  <c r="E26" i="52"/>
  <c r="S26" i="52" s="1" a="1"/>
  <c r="S26" i="52" s="1"/>
  <c r="P12" i="52"/>
  <c r="F12" i="52"/>
  <c r="P16" i="52"/>
  <c r="F16" i="52"/>
  <c r="E20" i="52"/>
  <c r="F20" i="52"/>
  <c r="P8" i="52"/>
  <c r="F8" i="52"/>
  <c r="P9" i="52"/>
  <c r="F9" i="52"/>
  <c r="P13" i="52"/>
  <c r="F13" i="52"/>
  <c r="P30" i="52"/>
  <c r="F30" i="52"/>
  <c r="P15" i="52"/>
  <c r="F15" i="52"/>
  <c r="E33" i="52"/>
  <c r="L5" i="52"/>
  <c r="AE12" i="52"/>
  <c r="W30" i="52"/>
  <c r="X30" i="52" s="1"/>
  <c r="Y30" i="52" s="1"/>
  <c r="W29" i="52"/>
  <c r="X29" i="52" s="1"/>
  <c r="Y29" i="52" s="1"/>
  <c r="AA26" i="52"/>
  <c r="AA5" i="52"/>
  <c r="AA22" i="52"/>
  <c r="AE22" i="52"/>
  <c r="AF22" i="52" s="1"/>
  <c r="AG22" i="52" s="1"/>
  <c r="AH22" i="52" s="1"/>
  <c r="G22" i="61" s="1"/>
  <c r="AA12" i="52"/>
  <c r="W13" i="52"/>
  <c r="X13" i="52" s="1"/>
  <c r="Y13" i="52" s="1"/>
  <c r="W14" i="52"/>
  <c r="X14" i="52" s="1"/>
  <c r="Y14" i="52" s="1"/>
  <c r="E12" i="52"/>
  <c r="E30" i="52"/>
  <c r="E31" i="52"/>
  <c r="E5" i="52"/>
  <c r="P26" i="52"/>
  <c r="P24" i="52" s="1"/>
  <c r="E22" i="52"/>
  <c r="E29" i="52"/>
  <c r="P20" i="52"/>
  <c r="E15" i="52"/>
  <c r="E19" i="52"/>
  <c r="E6" i="52"/>
  <c r="E7" i="52"/>
  <c r="E8" i="52"/>
  <c r="E9" i="52"/>
  <c r="E13" i="52"/>
  <c r="E16" i="52"/>
  <c r="U26" i="52" l="1"/>
  <c r="D26" i="62"/>
  <c r="H26" i="62" s="1"/>
  <c r="L26" i="62" s="1"/>
  <c r="AH13" i="73"/>
  <c r="AF13" i="61" s="1"/>
  <c r="L13" i="73"/>
  <c r="AH31" i="73"/>
  <c r="AF31" i="61" s="1"/>
  <c r="L31" i="73"/>
  <c r="AH29" i="73"/>
  <c r="AF29" i="61" s="1"/>
  <c r="L29" i="73"/>
  <c r="AG26" i="73"/>
  <c r="AE26" i="61" s="1"/>
  <c r="K26" i="73"/>
  <c r="AH30" i="73"/>
  <c r="AF30" i="61" s="1"/>
  <c r="L30" i="73"/>
  <c r="AH16" i="73"/>
  <c r="AF16" i="61" s="1"/>
  <c r="L16" i="73"/>
  <c r="W9" i="63"/>
  <c r="AI9" i="63"/>
  <c r="AJ9" i="63" s="1"/>
  <c r="Q9" i="63"/>
  <c r="K9" i="63"/>
  <c r="E9" i="63"/>
  <c r="F9" i="63" s="1"/>
  <c r="K6" i="63"/>
  <c r="W6" i="63"/>
  <c r="AC6" i="63"/>
  <c r="AI6" i="63"/>
  <c r="AJ6" i="63" s="1"/>
  <c r="Q6" i="63"/>
  <c r="E6" i="63"/>
  <c r="F6" i="63" s="1"/>
  <c r="X20" i="52"/>
  <c r="Y20" i="52" s="1"/>
  <c r="Z20" i="52" s="1"/>
  <c r="E20" i="63"/>
  <c r="F20" i="63" s="1"/>
  <c r="Q20" i="63"/>
  <c r="W20" i="63"/>
  <c r="AI20" i="63"/>
  <c r="AJ20" i="63" s="1"/>
  <c r="K20" i="63"/>
  <c r="Q7" i="63"/>
  <c r="E7" i="63"/>
  <c r="F7" i="63" s="1"/>
  <c r="W7" i="63"/>
  <c r="AI7" i="63"/>
  <c r="AJ7" i="63" s="1"/>
  <c r="K7" i="63"/>
  <c r="AP5" i="52"/>
  <c r="AQ5" i="52" s="1"/>
  <c r="AR5" i="52" s="1"/>
  <c r="AB5" i="52"/>
  <c r="AC5" i="52" s="1"/>
  <c r="AE20" i="52"/>
  <c r="AF20" i="52" s="1"/>
  <c r="AG20" i="52" s="1"/>
  <c r="AH20" i="52" s="1"/>
  <c r="G20" i="61" s="1"/>
  <c r="AA20" i="52"/>
  <c r="AB20" i="52" s="1"/>
  <c r="AC20" i="52" s="1"/>
  <c r="Z14" i="52"/>
  <c r="C14" i="61"/>
  <c r="L20" i="52"/>
  <c r="CU20" i="72" s="1"/>
  <c r="CW20" i="72" s="1"/>
  <c r="AF7" i="52"/>
  <c r="AG7" i="52" s="1"/>
  <c r="AH7" i="52" s="1"/>
  <c r="G7" i="61" s="1"/>
  <c r="X7" i="52"/>
  <c r="Y7" i="52" s="1"/>
  <c r="Z31" i="52"/>
  <c r="C31" i="61"/>
  <c r="AF6" i="52"/>
  <c r="AG6" i="52" s="1"/>
  <c r="AH6" i="52" s="1"/>
  <c r="G6" i="61" s="1"/>
  <c r="X6" i="52"/>
  <c r="Y6" i="52" s="1"/>
  <c r="Z13" i="52"/>
  <c r="C13" i="61"/>
  <c r="Z15" i="52"/>
  <c r="C15" i="61"/>
  <c r="AD31" i="52"/>
  <c r="D31" i="61"/>
  <c r="AD16" i="52"/>
  <c r="D16" i="61"/>
  <c r="AT12" i="52"/>
  <c r="AU12" i="52" s="1"/>
  <c r="AV12" i="52" s="1"/>
  <c r="AW12" i="52" s="1"/>
  <c r="AF12" i="52"/>
  <c r="AG12" i="52" s="1"/>
  <c r="AH12" i="52" s="1"/>
  <c r="G12" i="61" s="1"/>
  <c r="AP12" i="52"/>
  <c r="AQ12" i="52" s="1"/>
  <c r="AR12" i="52" s="1"/>
  <c r="AB12" i="52"/>
  <c r="AC12" i="52" s="1"/>
  <c r="AP26" i="52"/>
  <c r="AQ26" i="52" s="1"/>
  <c r="AB26" i="52"/>
  <c r="AC26" i="52" s="1"/>
  <c r="AL12" i="52"/>
  <c r="AM12" i="52" s="1"/>
  <c r="AN12" i="52" s="1"/>
  <c r="AX12" i="61" s="1"/>
  <c r="X12" i="52"/>
  <c r="Y12" i="52" s="1"/>
  <c r="AD15" i="52"/>
  <c r="D15" i="61"/>
  <c r="AD13" i="52"/>
  <c r="D13" i="61"/>
  <c r="Z29" i="52"/>
  <c r="C29" i="61"/>
  <c r="J29" i="61" s="1"/>
  <c r="AF19" i="52"/>
  <c r="AG19" i="52" s="1"/>
  <c r="AH19" i="52" s="1"/>
  <c r="G19" i="61" s="1"/>
  <c r="X19" i="52"/>
  <c r="Y19" i="52" s="1"/>
  <c r="AB8" i="52"/>
  <c r="AC8" i="52" s="1"/>
  <c r="X8" i="52"/>
  <c r="Y8" i="52" s="1"/>
  <c r="Z22" i="52"/>
  <c r="C22" i="61"/>
  <c r="Z30" i="52"/>
  <c r="C30" i="61"/>
  <c r="J30" i="61" s="1"/>
  <c r="AP22" i="52"/>
  <c r="AQ22" i="52" s="1"/>
  <c r="AR22" i="52" s="1"/>
  <c r="AB22" i="52"/>
  <c r="AC22" i="52" s="1"/>
  <c r="L9" i="52"/>
  <c r="AB9" i="52"/>
  <c r="AC9" i="52" s="1"/>
  <c r="X9" i="52"/>
  <c r="Y9" i="52" s="1"/>
  <c r="Z16" i="52"/>
  <c r="C16" i="61"/>
  <c r="AD14" i="52"/>
  <c r="D14" i="61"/>
  <c r="AR13" i="61"/>
  <c r="BB13" i="61"/>
  <c r="AO29" i="61"/>
  <c r="BB15" i="61"/>
  <c r="AR15" i="61"/>
  <c r="AR30" i="61"/>
  <c r="BB30" i="61"/>
  <c r="AR26" i="61"/>
  <c r="BB26" i="61"/>
  <c r="AO30" i="61"/>
  <c r="AN16" i="61"/>
  <c r="AX16" i="61"/>
  <c r="AO16" i="61"/>
  <c r="AR14" i="61"/>
  <c r="BB14" i="61"/>
  <c r="BB5" i="61"/>
  <c r="AR5" i="61"/>
  <c r="BB31" i="61"/>
  <c r="AR31" i="61"/>
  <c r="AX22" i="61"/>
  <c r="AN22" i="61"/>
  <c r="AN5" i="61"/>
  <c r="AO5" i="52"/>
  <c r="K5" i="73" s="1"/>
  <c r="BB16" i="61"/>
  <c r="AR16" i="61"/>
  <c r="AO31" i="61"/>
  <c r="AY31" i="61"/>
  <c r="AO13" i="61"/>
  <c r="AR29" i="61"/>
  <c r="BB29" i="61"/>
  <c r="AN15" i="61"/>
  <c r="AX15" i="61"/>
  <c r="AN31" i="61"/>
  <c r="AX31" i="61"/>
  <c r="CT8" i="72"/>
  <c r="CU8" i="72" s="1"/>
  <c r="AM8" i="52"/>
  <c r="AN8" i="52" s="1"/>
  <c r="AQ8" i="52"/>
  <c r="AR8" i="52" s="1"/>
  <c r="CT9" i="72"/>
  <c r="CU9" i="72" s="1"/>
  <c r="AQ9" i="52"/>
  <c r="AM9" i="52"/>
  <c r="AN9" i="52" s="1"/>
  <c r="AL29" i="52"/>
  <c r="AM29" i="52" s="1"/>
  <c r="AN29" i="52" s="1"/>
  <c r="CW13" i="72"/>
  <c r="AL14" i="52"/>
  <c r="AM14" i="52" s="1"/>
  <c r="AN14" i="52" s="1"/>
  <c r="AM20" i="52"/>
  <c r="CW15" i="72"/>
  <c r="CX15" i="72" s="1"/>
  <c r="CV15" i="72"/>
  <c r="AM6" i="52"/>
  <c r="AN6" i="52" s="1"/>
  <c r="CT6" i="72"/>
  <c r="CU6" i="72" s="1"/>
  <c r="AU6" i="52"/>
  <c r="AV6" i="52" s="1"/>
  <c r="AW6" i="52" s="1"/>
  <c r="AU7" i="52"/>
  <c r="AV7" i="52" s="1"/>
  <c r="AW7" i="52" s="1"/>
  <c r="CT7" i="72"/>
  <c r="CU7" i="72" s="1"/>
  <c r="AM7" i="52"/>
  <c r="AN7" i="52" s="1"/>
  <c r="AL13" i="52"/>
  <c r="AM13" i="52" s="1"/>
  <c r="AL30" i="52"/>
  <c r="AM30" i="52" s="1"/>
  <c r="CW12" i="72"/>
  <c r="CV22" i="72"/>
  <c r="CW22" i="72"/>
  <c r="CX22" i="72" s="1"/>
  <c r="AA6" i="52"/>
  <c r="AT22" i="52"/>
  <c r="AU22" i="52" s="1"/>
  <c r="AV22" i="52" s="1"/>
  <c r="AW22" i="52" s="1"/>
  <c r="CW14" i="72"/>
  <c r="AM19" i="52"/>
  <c r="AN19" i="52" s="1"/>
  <c r="AU19" i="52"/>
  <c r="AV19" i="52" s="1"/>
  <c r="AW19" i="52" s="1"/>
  <c r="CV16" i="72"/>
  <c r="CW16" i="72"/>
  <c r="CX16" i="72" s="1"/>
  <c r="AA7" i="52"/>
  <c r="AE8" i="52"/>
  <c r="AF8" i="52" s="1"/>
  <c r="AG8" i="52" s="1"/>
  <c r="AH8" i="52" s="1"/>
  <c r="G8" i="61" s="1"/>
  <c r="L7" i="52"/>
  <c r="L19" i="52"/>
  <c r="CU19" i="72" s="1"/>
  <c r="L6" i="52"/>
  <c r="AO16" i="52"/>
  <c r="AS16" i="52"/>
  <c r="AS30" i="52"/>
  <c r="AS29" i="52"/>
  <c r="AS13" i="52"/>
  <c r="AS31" i="52"/>
  <c r="AO31" i="52"/>
  <c r="AO22" i="52"/>
  <c r="AO15" i="52"/>
  <c r="AA19" i="52"/>
  <c r="AB19" i="52" s="1"/>
  <c r="AC19" i="52" s="1"/>
  <c r="AR15" i="52"/>
  <c r="AR14" i="52"/>
  <c r="AE9" i="52"/>
  <c r="AF9" i="52" s="1"/>
  <c r="AG9" i="52" s="1"/>
  <c r="AH9" i="52" s="1"/>
  <c r="G9" i="61" s="1"/>
  <c r="L8" i="52"/>
  <c r="P18" i="52"/>
  <c r="P4" i="52"/>
  <c r="S7" i="52" a="1"/>
  <c r="S7" i="52" s="1"/>
  <c r="D7" i="62" s="1"/>
  <c r="H7" i="62" s="1"/>
  <c r="L7" i="62" s="1"/>
  <c r="S29" i="52" a="1"/>
  <c r="S29" i="52" s="1"/>
  <c r="S5" i="52" a="1"/>
  <c r="S5" i="52" s="1"/>
  <c r="S6" i="52" a="1"/>
  <c r="S6" i="52" s="1"/>
  <c r="D6" i="62" s="1"/>
  <c r="H6" i="62" s="1"/>
  <c r="L6" i="62" s="1"/>
  <c r="S22" i="52" a="1"/>
  <c r="S22" i="52" s="1"/>
  <c r="S20" i="52" a="1"/>
  <c r="S20" i="52" s="1"/>
  <c r="D20" i="62" s="1"/>
  <c r="H20" i="62" s="1"/>
  <c r="L20" i="62" s="1"/>
  <c r="S19" i="52" a="1"/>
  <c r="S19" i="52" s="1"/>
  <c r="S31" i="52" a="1"/>
  <c r="S31" i="52" s="1"/>
  <c r="S30" i="52" a="1"/>
  <c r="S30" i="52" s="1"/>
  <c r="S8" i="52" a="1"/>
  <c r="S8" i="52" s="1"/>
  <c r="S9" i="52" a="1"/>
  <c r="S9" i="52" s="1"/>
  <c r="D9" i="62" s="1"/>
  <c r="H9" i="62" s="1"/>
  <c r="L9" i="62" s="1"/>
  <c r="T26" i="52"/>
  <c r="P28" i="52"/>
  <c r="P14" i="52"/>
  <c r="F14" i="52"/>
  <c r="F33" i="52" s="1"/>
  <c r="E14" i="52"/>
  <c r="S14" i="52" s="1" a="1"/>
  <c r="S14" i="52" s="1"/>
  <c r="Q26" i="52"/>
  <c r="C26" i="62" s="1"/>
  <c r="G26" i="62" s="1"/>
  <c r="K26" i="62" s="1"/>
  <c r="U19" i="52" l="1"/>
  <c r="D19" i="62"/>
  <c r="H19" i="62" s="1"/>
  <c r="L19" i="62" s="1"/>
  <c r="U22" i="52"/>
  <c r="D22" i="62"/>
  <c r="H22" i="62" s="1"/>
  <c r="L22" i="62" s="1"/>
  <c r="U8" i="52"/>
  <c r="D8" i="62"/>
  <c r="H8" i="62" s="1"/>
  <c r="L8" i="62" s="1"/>
  <c r="U5" i="52"/>
  <c r="D5" i="62"/>
  <c r="H5" i="62" s="1"/>
  <c r="L5" i="62" s="1"/>
  <c r="U30" i="52"/>
  <c r="H30" i="62"/>
  <c r="L30" i="62" s="1"/>
  <c r="U29" i="52"/>
  <c r="D29" i="62"/>
  <c r="H29" i="62" s="1"/>
  <c r="L29" i="62" s="1"/>
  <c r="BI26" i="62"/>
  <c r="AI26" i="62"/>
  <c r="AK26" i="62" s="1"/>
  <c r="AZ26" i="62"/>
  <c r="BJ26" i="62"/>
  <c r="BL26" i="62" s="1"/>
  <c r="Y26" i="62"/>
  <c r="BA26" i="62"/>
  <c r="BC26" i="62" s="1"/>
  <c r="Z26" i="62"/>
  <c r="AB26" i="62" s="1"/>
  <c r="Q26" i="62"/>
  <c r="S26" i="62" s="1"/>
  <c r="P26" i="62"/>
  <c r="AR26" i="62"/>
  <c r="AT26" i="62" s="1"/>
  <c r="AQ26" i="62"/>
  <c r="AH26" i="62"/>
  <c r="U14" i="52"/>
  <c r="D14" i="62"/>
  <c r="H14" i="62" s="1"/>
  <c r="L14" i="62" s="1"/>
  <c r="U31" i="52"/>
  <c r="H31" i="62"/>
  <c r="L31" i="62" s="1"/>
  <c r="C20" i="61"/>
  <c r="V26" i="73"/>
  <c r="V26" i="61" s="1"/>
  <c r="M26" i="61"/>
  <c r="AH15" i="73"/>
  <c r="AF15" i="61" s="1"/>
  <c r="L15" i="73"/>
  <c r="AH22" i="73"/>
  <c r="AF22" i="61" s="1"/>
  <c r="L22" i="73"/>
  <c r="AG15" i="73"/>
  <c r="AE15" i="61" s="1"/>
  <c r="K15" i="73"/>
  <c r="AG5" i="73"/>
  <c r="AE5" i="61" s="1"/>
  <c r="W29" i="73"/>
  <c r="W29" i="61" s="1"/>
  <c r="N29" i="61"/>
  <c r="AG16" i="73"/>
  <c r="AE16" i="61" s="1"/>
  <c r="K16" i="73"/>
  <c r="AG22" i="73"/>
  <c r="AE22" i="61" s="1"/>
  <c r="K22" i="73"/>
  <c r="L8" i="73"/>
  <c r="AH8" i="73"/>
  <c r="AF8" i="61" s="1"/>
  <c r="W16" i="73"/>
  <c r="W16" i="61" s="1"/>
  <c r="N16" i="61"/>
  <c r="W31" i="73"/>
  <c r="W31" i="61" s="1"/>
  <c r="N31" i="61"/>
  <c r="L14" i="73"/>
  <c r="AH14" i="73"/>
  <c r="AF14" i="61" s="1"/>
  <c r="AG31" i="73"/>
  <c r="AE31" i="61" s="1"/>
  <c r="K31" i="73"/>
  <c r="AH12" i="73"/>
  <c r="AF12" i="61" s="1"/>
  <c r="L12" i="73"/>
  <c r="AH5" i="73"/>
  <c r="AF5" i="61" s="1"/>
  <c r="L5" i="73"/>
  <c r="W5" i="73" s="1"/>
  <c r="W30" i="73"/>
  <c r="W30" i="61" s="1"/>
  <c r="N30" i="61"/>
  <c r="W13" i="73"/>
  <c r="W13" i="61" s="1"/>
  <c r="N13" i="61"/>
  <c r="J13" i="61"/>
  <c r="AU16" i="61"/>
  <c r="AV16" i="61" s="1"/>
  <c r="J14" i="61"/>
  <c r="J31" i="61"/>
  <c r="K31" i="61" s="1"/>
  <c r="C31" i="63" s="1"/>
  <c r="AU31" i="61"/>
  <c r="AV31" i="61" s="1"/>
  <c r="AA31" i="63" s="1"/>
  <c r="J16" i="61"/>
  <c r="J15" i="61"/>
  <c r="K15" i="61" s="1"/>
  <c r="C15" i="63" s="1"/>
  <c r="BE31" i="61"/>
  <c r="BF31" i="61" s="1"/>
  <c r="AG31" i="63" s="1"/>
  <c r="AH31" i="63" s="1"/>
  <c r="AI31" i="63" s="1"/>
  <c r="AJ31" i="63" s="1"/>
  <c r="AI26" i="61"/>
  <c r="AN12" i="61"/>
  <c r="AT20" i="52"/>
  <c r="AU20" i="52" s="1"/>
  <c r="AV20" i="52" s="1"/>
  <c r="AW20" i="52" s="1"/>
  <c r="BB20" i="61" s="1"/>
  <c r="AP20" i="52"/>
  <c r="AQ20" i="52" s="1"/>
  <c r="AR20" i="52" s="1"/>
  <c r="AO20" i="61" s="1"/>
  <c r="CX12" i="72"/>
  <c r="CV12" i="72"/>
  <c r="AO12" i="52"/>
  <c r="AD8" i="52"/>
  <c r="D8" i="61"/>
  <c r="AD22" i="52"/>
  <c r="D22" i="61"/>
  <c r="J22" i="61" s="1"/>
  <c r="C19" i="61"/>
  <c r="Z19" i="52"/>
  <c r="Z12" i="52"/>
  <c r="C12" i="61"/>
  <c r="AD20" i="52"/>
  <c r="D20" i="61"/>
  <c r="AD5" i="52"/>
  <c r="D5" i="61"/>
  <c r="J5" i="61" s="1"/>
  <c r="Z7" i="52"/>
  <c r="C7" i="61"/>
  <c r="AD19" i="52"/>
  <c r="D19" i="61"/>
  <c r="AP6" i="52"/>
  <c r="AQ6" i="52" s="1"/>
  <c r="AR6" i="52" s="1"/>
  <c r="AB6" i="52"/>
  <c r="AC6" i="52" s="1"/>
  <c r="CV20" i="72"/>
  <c r="AP7" i="52"/>
  <c r="AQ7" i="52" s="1"/>
  <c r="AR7" i="52" s="1"/>
  <c r="AB7" i="52"/>
  <c r="AC7" i="52" s="1"/>
  <c r="AD12" i="52"/>
  <c r="D12" i="61"/>
  <c r="Z6" i="52"/>
  <c r="C6" i="61"/>
  <c r="AD26" i="52"/>
  <c r="D26" i="61"/>
  <c r="J26" i="61" s="1"/>
  <c r="Z9" i="52"/>
  <c r="C9" i="61"/>
  <c r="AD9" i="52"/>
  <c r="D9" i="61"/>
  <c r="Z8" i="52"/>
  <c r="C8" i="61"/>
  <c r="AN29" i="61"/>
  <c r="AX29" i="61"/>
  <c r="AX8" i="61"/>
  <c r="AN8" i="61"/>
  <c r="AN20" i="52"/>
  <c r="AY14" i="61"/>
  <c r="AO14" i="61"/>
  <c r="AR12" i="61"/>
  <c r="BB12" i="61"/>
  <c r="BB7" i="61"/>
  <c r="AR7" i="61"/>
  <c r="AN14" i="61"/>
  <c r="AX14" i="61"/>
  <c r="AO8" i="61"/>
  <c r="AY8" i="61"/>
  <c r="AY15" i="61"/>
  <c r="BE15" i="61" s="1"/>
  <c r="AO15" i="61"/>
  <c r="AU15" i="61" s="1"/>
  <c r="BB6" i="61"/>
  <c r="AR6" i="61"/>
  <c r="AX7" i="61"/>
  <c r="AN7" i="61"/>
  <c r="BB19" i="61"/>
  <c r="AR19" i="61"/>
  <c r="AO22" i="61"/>
  <c r="AN6" i="61"/>
  <c r="AX6" i="61"/>
  <c r="AX19" i="61"/>
  <c r="AN19" i="61"/>
  <c r="AX9" i="61"/>
  <c r="AN9" i="61"/>
  <c r="AO12" i="61"/>
  <c r="AO5" i="61"/>
  <c r="AU5" i="61" s="1"/>
  <c r="BB22" i="61"/>
  <c r="AR22" i="61"/>
  <c r="CV13" i="72"/>
  <c r="CX20" i="72"/>
  <c r="AO9" i="52"/>
  <c r="AO14" i="52"/>
  <c r="AO29" i="52"/>
  <c r="CV19" i="72"/>
  <c r="CW19" i="72"/>
  <c r="CX19" i="72" s="1"/>
  <c r="AT8" i="52"/>
  <c r="AU8" i="52" s="1"/>
  <c r="AV8" i="52" s="1"/>
  <c r="AW8" i="52" s="1"/>
  <c r="AN30" i="52"/>
  <c r="CW7" i="72"/>
  <c r="CX7" i="72" s="1"/>
  <c r="CV7" i="72"/>
  <c r="AN13" i="52"/>
  <c r="AT9" i="52"/>
  <c r="AU9" i="52" s="1"/>
  <c r="AV9" i="52" s="1"/>
  <c r="AW9" i="52" s="1"/>
  <c r="CV8" i="72"/>
  <c r="CW8" i="72"/>
  <c r="CX8" i="72" s="1"/>
  <c r="CW9" i="72"/>
  <c r="CX9" i="72" s="1"/>
  <c r="CV9" i="72"/>
  <c r="CV14" i="72"/>
  <c r="CW6" i="72"/>
  <c r="CX6" i="72" s="1"/>
  <c r="CV6" i="72"/>
  <c r="AP19" i="52"/>
  <c r="AQ19" i="52" s="1"/>
  <c r="CX14" i="72"/>
  <c r="CX13" i="72"/>
  <c r="AO6" i="52"/>
  <c r="P11" i="52"/>
  <c r="Q13" i="52" s="1"/>
  <c r="C13" i="62" s="1"/>
  <c r="G13" i="62" s="1"/>
  <c r="K13" i="62" s="1"/>
  <c r="R26" i="52"/>
  <c r="T6" i="52"/>
  <c r="U6" i="52"/>
  <c r="T20" i="52"/>
  <c r="U20" i="52"/>
  <c r="T7" i="52"/>
  <c r="U7" i="52"/>
  <c r="T9" i="52"/>
  <c r="U9" i="52"/>
  <c r="Q29" i="52"/>
  <c r="C29" i="62" s="1"/>
  <c r="G29" i="62" s="1"/>
  <c r="K29" i="62" s="1"/>
  <c r="Q20" i="52"/>
  <c r="C20" i="62" s="1"/>
  <c r="G20" i="62" s="1"/>
  <c r="K20" i="62" s="1"/>
  <c r="Q19" i="52"/>
  <c r="C19" i="62" s="1"/>
  <c r="G19" i="62" s="1"/>
  <c r="K19" i="62" s="1"/>
  <c r="AS14" i="52"/>
  <c r="AS12" i="52"/>
  <c r="AS5" i="52"/>
  <c r="AO8" i="52"/>
  <c r="AS22" i="52"/>
  <c r="AO7" i="52"/>
  <c r="AO19" i="52"/>
  <c r="AS15" i="52"/>
  <c r="AR26" i="52"/>
  <c r="AR9" i="52"/>
  <c r="AS8" i="52"/>
  <c r="Q7" i="52"/>
  <c r="C7" i="62" s="1"/>
  <c r="G7" i="62" s="1"/>
  <c r="K7" i="62" s="1"/>
  <c r="Q22" i="52"/>
  <c r="C22" i="62" s="1"/>
  <c r="G22" i="62" s="1"/>
  <c r="K22" i="62" s="1"/>
  <c r="T22" i="52"/>
  <c r="Q6" i="52"/>
  <c r="C6" i="62" s="1"/>
  <c r="G6" i="62" s="1"/>
  <c r="K6" i="62" s="1"/>
  <c r="Q8" i="52"/>
  <c r="C8" i="62" s="1"/>
  <c r="G8" i="62" s="1"/>
  <c r="K8" i="62" s="1"/>
  <c r="T29" i="52"/>
  <c r="Q9" i="52"/>
  <c r="C9" i="62" s="1"/>
  <c r="G9" i="62" s="1"/>
  <c r="K9" i="62" s="1"/>
  <c r="Q5" i="52"/>
  <c r="C5" i="62" s="1"/>
  <c r="G5" i="62" s="1"/>
  <c r="K5" i="62" s="1"/>
  <c r="T19" i="52"/>
  <c r="T5" i="52"/>
  <c r="T30" i="52"/>
  <c r="T8" i="52"/>
  <c r="S13" i="52" a="1"/>
  <c r="S13" i="52" s="1"/>
  <c r="S15" i="52" a="1"/>
  <c r="S15" i="52" s="1"/>
  <c r="S12" i="52" a="1"/>
  <c r="S12" i="52" s="1"/>
  <c r="S16" i="52" a="1"/>
  <c r="S16" i="52" s="1"/>
  <c r="D16" i="62" s="1"/>
  <c r="H16" i="62" s="1"/>
  <c r="L16" i="62" s="1"/>
  <c r="T14" i="52"/>
  <c r="Q30" i="52"/>
  <c r="C30" i="62" s="1"/>
  <c r="G30" i="62" s="1"/>
  <c r="K30" i="62" s="1"/>
  <c r="K29" i="61"/>
  <c r="C29" i="63" s="1"/>
  <c r="AB31" i="63" l="1"/>
  <c r="AC31" i="63" s="1"/>
  <c r="AJ26" i="62"/>
  <c r="AL26" i="62"/>
  <c r="AM26" i="62" s="1"/>
  <c r="BT26" i="62" s="1"/>
  <c r="BI29" i="62"/>
  <c r="AI29" i="62"/>
  <c r="AK29" i="62" s="1"/>
  <c r="Z29" i="62"/>
  <c r="AB29" i="62" s="1"/>
  <c r="BA29" i="62"/>
  <c r="BC29" i="62" s="1"/>
  <c r="BJ29" i="62"/>
  <c r="BL29" i="62" s="1"/>
  <c r="AR29" i="62"/>
  <c r="AT29" i="62" s="1"/>
  <c r="Y29" i="62"/>
  <c r="AZ29" i="62"/>
  <c r="Q29" i="62"/>
  <c r="S29" i="62" s="1"/>
  <c r="P29" i="62"/>
  <c r="AQ29" i="62"/>
  <c r="AH29" i="62"/>
  <c r="AS26" i="62"/>
  <c r="AU26" i="62"/>
  <c r="BB26" i="62"/>
  <c r="BD26" i="62"/>
  <c r="BE26" i="62" s="1"/>
  <c r="BW26" i="62" s="1"/>
  <c r="Y30" i="62"/>
  <c r="AZ30" i="62"/>
  <c r="BJ30" i="62"/>
  <c r="BL30" i="62" s="1"/>
  <c r="BA30" i="62"/>
  <c r="BC30" i="62" s="1"/>
  <c r="Q30" i="62"/>
  <c r="S30" i="62" s="1"/>
  <c r="BI30" i="62"/>
  <c r="P30" i="62"/>
  <c r="AH30" i="62"/>
  <c r="Z30" i="62"/>
  <c r="AB30" i="62" s="1"/>
  <c r="AQ30" i="62"/>
  <c r="AI30" i="62"/>
  <c r="AK30" i="62" s="1"/>
  <c r="AR30" i="62"/>
  <c r="AT30" i="62" s="1"/>
  <c r="BI22" i="62"/>
  <c r="P22" i="62"/>
  <c r="AQ22" i="62"/>
  <c r="Q22" i="62"/>
  <c r="S22" i="62" s="1"/>
  <c r="BJ22" i="62"/>
  <c r="BL22" i="62" s="1"/>
  <c r="AZ22" i="62"/>
  <c r="AI22" i="62"/>
  <c r="AK22" i="62" s="1"/>
  <c r="Y22" i="62"/>
  <c r="Z22" i="62"/>
  <c r="AB22" i="62" s="1"/>
  <c r="AR22" i="62"/>
  <c r="AT22" i="62" s="1"/>
  <c r="BA22" i="62"/>
  <c r="BC22" i="62" s="1"/>
  <c r="AH22" i="62"/>
  <c r="BJ20" i="62"/>
  <c r="BL20" i="62" s="1"/>
  <c r="AH20" i="62"/>
  <c r="BA20" i="62"/>
  <c r="BC20" i="62" s="1"/>
  <c r="AR20" i="62"/>
  <c r="AT20" i="62" s="1"/>
  <c r="Z20" i="62"/>
  <c r="AB20" i="62" s="1"/>
  <c r="P20" i="62"/>
  <c r="Y20" i="62"/>
  <c r="Q20" i="62"/>
  <c r="S20" i="62" s="1"/>
  <c r="AZ20" i="62"/>
  <c r="AI20" i="62"/>
  <c r="AK20" i="62" s="1"/>
  <c r="BI20" i="62"/>
  <c r="AQ20" i="62"/>
  <c r="R26" i="62"/>
  <c r="T26" i="62"/>
  <c r="BK26" i="62"/>
  <c r="BM26" i="62"/>
  <c r="P6" i="62"/>
  <c r="AZ6" i="62"/>
  <c r="BJ6" i="62"/>
  <c r="BL6" i="62" s="1"/>
  <c r="AI6" i="62"/>
  <c r="AK6" i="62" s="1"/>
  <c r="Q6" i="62"/>
  <c r="S6" i="62" s="1"/>
  <c r="BI6" i="62"/>
  <c r="Y6" i="62"/>
  <c r="AR6" i="62"/>
  <c r="AT6" i="62" s="1"/>
  <c r="BA6" i="62"/>
  <c r="BC6" i="62" s="1"/>
  <c r="Z6" i="62"/>
  <c r="AB6" i="62" s="1"/>
  <c r="AQ6" i="62"/>
  <c r="AH6" i="62"/>
  <c r="AQ5" i="62"/>
  <c r="Z5" i="62"/>
  <c r="AB5" i="62" s="1"/>
  <c r="Q5" i="62"/>
  <c r="S5" i="62" s="1"/>
  <c r="Y5" i="62"/>
  <c r="AH5" i="62"/>
  <c r="AZ5" i="62"/>
  <c r="BA5" i="62"/>
  <c r="BC5" i="62" s="1"/>
  <c r="BJ5" i="62"/>
  <c r="BL5" i="62" s="1"/>
  <c r="AI5" i="62"/>
  <c r="AK5" i="62" s="1"/>
  <c r="BI5" i="62"/>
  <c r="P5" i="62"/>
  <c r="AR5" i="62"/>
  <c r="AT5" i="62" s="1"/>
  <c r="Z7" i="62"/>
  <c r="AB7" i="62" s="1"/>
  <c r="P7" i="62"/>
  <c r="AI7" i="62"/>
  <c r="AK7" i="62" s="1"/>
  <c r="BJ7" i="62"/>
  <c r="BL7" i="62" s="1"/>
  <c r="AR7" i="62"/>
  <c r="AT7" i="62" s="1"/>
  <c r="BI7" i="62"/>
  <c r="BA7" i="62"/>
  <c r="BC7" i="62" s="1"/>
  <c r="AZ7" i="62"/>
  <c r="Y7" i="62"/>
  <c r="Q7" i="62"/>
  <c r="S7" i="62" s="1"/>
  <c r="AH7" i="62"/>
  <c r="AQ7" i="62"/>
  <c r="U12" i="52"/>
  <c r="D12" i="62"/>
  <c r="H12" i="62" s="1"/>
  <c r="L12" i="62" s="1"/>
  <c r="U15" i="52"/>
  <c r="D15" i="62"/>
  <c r="H15" i="62" s="1"/>
  <c r="L15" i="62" s="1"/>
  <c r="AZ9" i="62"/>
  <c r="AH9" i="62"/>
  <c r="P9" i="62"/>
  <c r="Y9" i="62"/>
  <c r="AI9" i="62"/>
  <c r="AK9" i="62" s="1"/>
  <c r="Q9" i="62"/>
  <c r="S9" i="62" s="1"/>
  <c r="AQ9" i="62"/>
  <c r="BA9" i="62"/>
  <c r="BC9" i="62" s="1"/>
  <c r="Z9" i="62"/>
  <c r="AB9" i="62" s="1"/>
  <c r="BJ9" i="62"/>
  <c r="BL9" i="62" s="1"/>
  <c r="BI9" i="62"/>
  <c r="AR9" i="62"/>
  <c r="AT9" i="62" s="1"/>
  <c r="U13" i="52"/>
  <c r="D13" i="62"/>
  <c r="H13" i="62" s="1"/>
  <c r="L13" i="62" s="1"/>
  <c r="Y13" i="62" s="1"/>
  <c r="BJ8" i="62"/>
  <c r="BL8" i="62" s="1"/>
  <c r="Q8" i="62"/>
  <c r="S8" i="62" s="1"/>
  <c r="BI8" i="62"/>
  <c r="AZ8" i="62"/>
  <c r="P8" i="62"/>
  <c r="AQ8" i="62"/>
  <c r="AH8" i="62"/>
  <c r="Y8" i="62"/>
  <c r="BA8" i="62"/>
  <c r="BC8" i="62" s="1"/>
  <c r="Z8" i="62"/>
  <c r="AB8" i="62" s="1"/>
  <c r="AI8" i="62"/>
  <c r="AK8" i="62" s="1"/>
  <c r="AR8" i="62"/>
  <c r="AT8" i="62" s="1"/>
  <c r="AZ19" i="62"/>
  <c r="Z19" i="62"/>
  <c r="AB19" i="62" s="1"/>
  <c r="BJ19" i="62"/>
  <c r="BL19" i="62" s="1"/>
  <c r="Y19" i="62"/>
  <c r="AR19" i="62"/>
  <c r="AT19" i="62" s="1"/>
  <c r="AQ19" i="62"/>
  <c r="P19" i="62"/>
  <c r="AH19" i="62"/>
  <c r="Q19" i="62"/>
  <c r="S19" i="62" s="1"/>
  <c r="AI19" i="62"/>
  <c r="AK19" i="62" s="1"/>
  <c r="BA19" i="62"/>
  <c r="BC19" i="62" s="1"/>
  <c r="BI19" i="62"/>
  <c r="AA26" i="62"/>
  <c r="AC26" i="62"/>
  <c r="J20" i="61"/>
  <c r="K20" i="61" s="1"/>
  <c r="C20" i="63" s="1"/>
  <c r="AI16" i="61"/>
  <c r="AI15" i="61"/>
  <c r="AG19" i="73"/>
  <c r="AE19" i="61" s="1"/>
  <c r="K19" i="73"/>
  <c r="K14" i="73"/>
  <c r="AG14" i="73"/>
  <c r="AE14" i="61" s="1"/>
  <c r="AG12" i="73"/>
  <c r="AE12" i="61" s="1"/>
  <c r="K12" i="73"/>
  <c r="AI22" i="61"/>
  <c r="AK22" i="61" s="1"/>
  <c r="W5" i="61"/>
  <c r="N5" i="61"/>
  <c r="M16" i="61"/>
  <c r="V16" i="73"/>
  <c r="V16" i="61" s="1"/>
  <c r="AB16" i="61" s="1"/>
  <c r="AC16" i="61" s="1"/>
  <c r="O16" i="63" s="1"/>
  <c r="P16" i="63" s="1"/>
  <c r="Q16" i="63" s="1"/>
  <c r="W22" i="73"/>
  <c r="W22" i="61" s="1"/>
  <c r="N22" i="61"/>
  <c r="AG7" i="73"/>
  <c r="AE7" i="61" s="1"/>
  <c r="K7" i="73"/>
  <c r="AG9" i="73"/>
  <c r="AE9" i="61" s="1"/>
  <c r="K9" i="73"/>
  <c r="AG29" i="73"/>
  <c r="AE29" i="61" s="1"/>
  <c r="K29" i="73"/>
  <c r="W14" i="73"/>
  <c r="W14" i="61" s="1"/>
  <c r="N14" i="61"/>
  <c r="AI31" i="61"/>
  <c r="AK31" i="61" s="1"/>
  <c r="AL31" i="61" s="1"/>
  <c r="U31" i="63" s="1"/>
  <c r="V31" i="63" s="1"/>
  <c r="W31" i="63" s="1"/>
  <c r="W12" i="73"/>
  <c r="W12" i="61" s="1"/>
  <c r="N12" i="61"/>
  <c r="W15" i="73"/>
  <c r="W15" i="61" s="1"/>
  <c r="N15" i="61"/>
  <c r="M15" i="61"/>
  <c r="V15" i="73"/>
  <c r="V15" i="61" s="1"/>
  <c r="AH6" i="73"/>
  <c r="AF6" i="61" s="1"/>
  <c r="L6" i="73"/>
  <c r="W6" i="73" s="1"/>
  <c r="AG8" i="73"/>
  <c r="AE8" i="61" s="1"/>
  <c r="K8" i="73"/>
  <c r="AG6" i="73"/>
  <c r="AE6" i="61" s="1"/>
  <c r="K6" i="73"/>
  <c r="L7" i="73"/>
  <c r="W7" i="73" s="1"/>
  <c r="AH7" i="73"/>
  <c r="AF7" i="61" s="1"/>
  <c r="L20" i="73"/>
  <c r="AH20" i="73"/>
  <c r="AF20" i="61" s="1"/>
  <c r="V31" i="73"/>
  <c r="V31" i="61" s="1"/>
  <c r="M31" i="61"/>
  <c r="M5" i="61"/>
  <c r="V5" i="73"/>
  <c r="V5" i="61" s="1"/>
  <c r="AH26" i="73"/>
  <c r="AF26" i="61" s="1"/>
  <c r="AK26" i="61" s="1"/>
  <c r="AL26" i="61" s="1"/>
  <c r="U26" i="63" s="1"/>
  <c r="V26" i="63" s="1"/>
  <c r="W26" i="63" s="1"/>
  <c r="L26" i="73"/>
  <c r="M22" i="61"/>
  <c r="V22" i="73"/>
  <c r="V22" i="61" s="1"/>
  <c r="AH9" i="73"/>
  <c r="AF9" i="61" s="1"/>
  <c r="L9" i="73"/>
  <c r="W8" i="73"/>
  <c r="W8" i="61" s="1"/>
  <c r="N8" i="61"/>
  <c r="J8" i="61"/>
  <c r="BE14" i="61"/>
  <c r="BF14" i="61" s="1"/>
  <c r="AG14" i="63" s="1"/>
  <c r="AU22" i="61"/>
  <c r="AV22" i="61" s="1"/>
  <c r="AU29" i="61"/>
  <c r="AV29" i="61" s="1"/>
  <c r="AA29" i="63" s="1"/>
  <c r="AU12" i="61"/>
  <c r="AV12" i="61" s="1"/>
  <c r="AA12" i="63" s="1"/>
  <c r="J12" i="61"/>
  <c r="K12" i="61" s="1"/>
  <c r="C12" i="63" s="1"/>
  <c r="AU14" i="61"/>
  <c r="AV14" i="61" s="1"/>
  <c r="AA14" i="63" s="1"/>
  <c r="AC14" i="63" s="1"/>
  <c r="J9" i="61"/>
  <c r="K9" i="61" s="1"/>
  <c r="C9" i="63" s="1"/>
  <c r="BF15" i="61"/>
  <c r="AG15" i="63" s="1"/>
  <c r="AH15" i="63" s="1"/>
  <c r="AI15" i="63" s="1"/>
  <c r="AV15" i="61"/>
  <c r="AA15" i="63" s="1"/>
  <c r="J19" i="61"/>
  <c r="AS20" i="52"/>
  <c r="D31" i="63"/>
  <c r="E31" i="63" s="1"/>
  <c r="F31" i="63" s="1"/>
  <c r="D15" i="63"/>
  <c r="E15" i="63" s="1"/>
  <c r="D29" i="63"/>
  <c r="E29" i="63" s="1"/>
  <c r="F29" i="63" s="1"/>
  <c r="AI5" i="61"/>
  <c r="AR20" i="61"/>
  <c r="AO6" i="61"/>
  <c r="AS6" i="52"/>
  <c r="Q16" i="52"/>
  <c r="P33" i="52"/>
  <c r="Q12" i="52"/>
  <c r="C12" i="62" s="1"/>
  <c r="G12" i="62" s="1"/>
  <c r="K12" i="62" s="1"/>
  <c r="AD7" i="52"/>
  <c r="D7" i="61"/>
  <c r="J7" i="61" s="1"/>
  <c r="AD6" i="52"/>
  <c r="D6" i="61"/>
  <c r="J6" i="61" s="1"/>
  <c r="AX13" i="61"/>
  <c r="AN13" i="61"/>
  <c r="AO7" i="61"/>
  <c r="AU7" i="61" s="1"/>
  <c r="AY7" i="61"/>
  <c r="BB9" i="61"/>
  <c r="AR9" i="61"/>
  <c r="AO9" i="61"/>
  <c r="AY9" i="61"/>
  <c r="Q15" i="52"/>
  <c r="Q14" i="52"/>
  <c r="AO26" i="61"/>
  <c r="AX30" i="61"/>
  <c r="AN30" i="61"/>
  <c r="BB8" i="61"/>
  <c r="AR8" i="61"/>
  <c r="AU8" i="61" s="1"/>
  <c r="K14" i="61"/>
  <c r="C14" i="63" s="1"/>
  <c r="AX20" i="61"/>
  <c r="AN20" i="61"/>
  <c r="AO20" i="52"/>
  <c r="AR19" i="52"/>
  <c r="K13" i="61"/>
  <c r="C13" i="63" s="1"/>
  <c r="AO13" i="52"/>
  <c r="K26" i="61"/>
  <c r="C26" i="63" s="1"/>
  <c r="K30" i="61"/>
  <c r="C30" i="63" s="1"/>
  <c r="AO30" i="52"/>
  <c r="AV5" i="61"/>
  <c r="AA5" i="63" s="1"/>
  <c r="R5" i="52"/>
  <c r="R6" i="52"/>
  <c r="R7" i="52"/>
  <c r="R8" i="52"/>
  <c r="R19" i="52"/>
  <c r="R12" i="52"/>
  <c r="R30" i="52"/>
  <c r="R20" i="52"/>
  <c r="R9" i="52"/>
  <c r="R22" i="52"/>
  <c r="R29" i="52"/>
  <c r="R13" i="52"/>
  <c r="Q31" i="52"/>
  <c r="T16" i="52"/>
  <c r="U16" i="52"/>
  <c r="AS26" i="52"/>
  <c r="AS7" i="52"/>
  <c r="AS9" i="52"/>
  <c r="K16" i="61"/>
  <c r="C16" i="63" s="1"/>
  <c r="AK16" i="61"/>
  <c r="K22" i="61"/>
  <c r="C22" i="63" s="1"/>
  <c r="T15" i="52"/>
  <c r="K5" i="61"/>
  <c r="T13" i="52"/>
  <c r="T12" i="52"/>
  <c r="T31" i="52"/>
  <c r="AA16" i="63"/>
  <c r="AB12" i="63" l="1"/>
  <c r="AC12" i="63" s="1"/>
  <c r="AB16" i="63"/>
  <c r="AC16" i="63" s="1"/>
  <c r="AB5" i="63"/>
  <c r="AC5" i="63" s="1"/>
  <c r="AB29" i="63"/>
  <c r="AC29" i="63" s="1"/>
  <c r="AB15" i="63"/>
  <c r="AC15" i="63" s="1"/>
  <c r="BN26" i="62"/>
  <c r="BY26" i="62" s="1"/>
  <c r="U26" i="62"/>
  <c r="BP26" i="62" s="1"/>
  <c r="AV26" i="62"/>
  <c r="BV26" i="62" s="1"/>
  <c r="AH13" i="62"/>
  <c r="AJ13" i="62" s="1"/>
  <c r="AA13" i="62"/>
  <c r="AJ19" i="62"/>
  <c r="AL19" i="62"/>
  <c r="BB8" i="62"/>
  <c r="BD8" i="62"/>
  <c r="AJ9" i="62"/>
  <c r="AL9" i="62"/>
  <c r="R7" i="62"/>
  <c r="T7" i="62"/>
  <c r="U7" i="62" s="1"/>
  <c r="BP7" i="62" s="1"/>
  <c r="BB5" i="62"/>
  <c r="BD5" i="62"/>
  <c r="BB6" i="62"/>
  <c r="BD6" i="62"/>
  <c r="Q13" i="62"/>
  <c r="S13" i="62" s="1"/>
  <c r="R20" i="62"/>
  <c r="T20" i="62"/>
  <c r="U20" i="62" s="1"/>
  <c r="BP20" i="62" s="1"/>
  <c r="R22" i="62"/>
  <c r="T22" i="62"/>
  <c r="BK30" i="62"/>
  <c r="BM30" i="62"/>
  <c r="R14" i="52"/>
  <c r="C14" i="62"/>
  <c r="G14" i="62" s="1"/>
  <c r="K14" i="62" s="1"/>
  <c r="R16" i="52"/>
  <c r="C16" i="62"/>
  <c r="G16" i="62" s="1"/>
  <c r="K16" i="62" s="1"/>
  <c r="R19" i="62"/>
  <c r="T19" i="62"/>
  <c r="BK8" i="62"/>
  <c r="BM8" i="62"/>
  <c r="BB9" i="62"/>
  <c r="BD9" i="62"/>
  <c r="AA7" i="62"/>
  <c r="AC7" i="62"/>
  <c r="AD7" i="62" s="1"/>
  <c r="BR7" i="62" s="1"/>
  <c r="AJ5" i="62"/>
  <c r="AL5" i="62"/>
  <c r="AM5" i="62" s="1"/>
  <c r="BT5" i="62" s="1"/>
  <c r="R6" i="62"/>
  <c r="T6" i="62"/>
  <c r="Z13" i="62"/>
  <c r="AB13" i="62" s="1"/>
  <c r="P13" i="62"/>
  <c r="BK22" i="62"/>
  <c r="BM22" i="62"/>
  <c r="BN22" i="62" s="1"/>
  <c r="BY22" i="62" s="1"/>
  <c r="AD26" i="62"/>
  <c r="BR26" i="62" s="1"/>
  <c r="AS19" i="62"/>
  <c r="AU19" i="62"/>
  <c r="BB7" i="62"/>
  <c r="BD7" i="62"/>
  <c r="AA5" i="62"/>
  <c r="AC5" i="62"/>
  <c r="AQ13" i="62"/>
  <c r="AS20" i="62"/>
  <c r="AU20" i="62"/>
  <c r="AV20" i="62" s="1"/>
  <c r="BV20" i="62" s="1"/>
  <c r="AA22" i="62"/>
  <c r="AC22" i="62"/>
  <c r="AJ29" i="62"/>
  <c r="AL29" i="62"/>
  <c r="R15" i="52"/>
  <c r="C15" i="62"/>
  <c r="G15" i="62" s="1"/>
  <c r="K15" i="62" s="1"/>
  <c r="AS9" i="62"/>
  <c r="AU9" i="62"/>
  <c r="AV9" i="62" s="1"/>
  <c r="BV9" i="62" s="1"/>
  <c r="R5" i="62"/>
  <c r="T5" i="62"/>
  <c r="AA6" i="62"/>
  <c r="AC6" i="62"/>
  <c r="BJ13" i="62"/>
  <c r="BL13" i="62" s="1"/>
  <c r="BK20" i="62"/>
  <c r="BM20" i="62"/>
  <c r="AS29" i="62"/>
  <c r="AU29" i="62"/>
  <c r="R31" i="52"/>
  <c r="C31" i="62"/>
  <c r="G31" i="62" s="1"/>
  <c r="K31" i="62" s="1"/>
  <c r="BK19" i="62"/>
  <c r="BM19" i="62"/>
  <c r="AA19" i="62"/>
  <c r="AC19" i="62"/>
  <c r="AA8" i="62"/>
  <c r="AC8" i="62"/>
  <c r="BK7" i="62"/>
  <c r="BM7" i="62"/>
  <c r="BK5" i="62"/>
  <c r="BM5" i="62"/>
  <c r="BK6" i="62"/>
  <c r="BM6" i="62"/>
  <c r="BI13" i="62"/>
  <c r="AJ20" i="62"/>
  <c r="AL20" i="62"/>
  <c r="BB22" i="62"/>
  <c r="BD22" i="62"/>
  <c r="AS30" i="62"/>
  <c r="AU30" i="62"/>
  <c r="BB30" i="62"/>
  <c r="BD30" i="62"/>
  <c r="R29" i="62"/>
  <c r="T29" i="62"/>
  <c r="AJ8" i="62"/>
  <c r="AL8" i="62"/>
  <c r="AS5" i="62"/>
  <c r="AU5" i="62"/>
  <c r="BA13" i="62"/>
  <c r="BC13" i="62" s="1"/>
  <c r="BB20" i="62"/>
  <c r="BD20" i="62"/>
  <c r="AA30" i="62"/>
  <c r="AC30" i="62"/>
  <c r="BK29" i="62"/>
  <c r="BM29" i="62"/>
  <c r="AS8" i="62"/>
  <c r="AU8" i="62"/>
  <c r="AA9" i="62"/>
  <c r="AC9" i="62"/>
  <c r="AS7" i="62"/>
  <c r="AU7" i="62"/>
  <c r="AJ6" i="62"/>
  <c r="AL6" i="62"/>
  <c r="AM6" i="62" s="1"/>
  <c r="BT6" i="62" s="1"/>
  <c r="AR13" i="62"/>
  <c r="AT13" i="62" s="1"/>
  <c r="AZ13" i="62"/>
  <c r="AJ22" i="62"/>
  <c r="AL22" i="62"/>
  <c r="AJ30" i="62"/>
  <c r="AL30" i="62"/>
  <c r="BB29" i="62"/>
  <c r="BD29" i="62"/>
  <c r="BE29" i="62" s="1"/>
  <c r="BW29" i="62" s="1"/>
  <c r="Q12" i="62"/>
  <c r="S12" i="62" s="1"/>
  <c r="Y12" i="62"/>
  <c r="AR12" i="62"/>
  <c r="AT12" i="62" s="1"/>
  <c r="P12" i="62"/>
  <c r="AZ12" i="62"/>
  <c r="AI12" i="62"/>
  <c r="AK12" i="62" s="1"/>
  <c r="BJ12" i="62"/>
  <c r="BL12" i="62" s="1"/>
  <c r="Z12" i="62"/>
  <c r="AB12" i="62" s="1"/>
  <c r="BI12" i="62"/>
  <c r="BA12" i="62"/>
  <c r="BC12" i="62" s="1"/>
  <c r="AQ12" i="62"/>
  <c r="AH12" i="62"/>
  <c r="BB19" i="62"/>
  <c r="BD19" i="62"/>
  <c r="R8" i="62"/>
  <c r="T8" i="62"/>
  <c r="U8" i="62" s="1"/>
  <c r="BP8" i="62" s="1"/>
  <c r="BK9" i="62"/>
  <c r="BM9" i="62"/>
  <c r="R9" i="62"/>
  <c r="T9" i="62"/>
  <c r="AJ7" i="62"/>
  <c r="AL7" i="62"/>
  <c r="AS6" i="62"/>
  <c r="AU6" i="62"/>
  <c r="AV6" i="62" s="1"/>
  <c r="BV6" i="62" s="1"/>
  <c r="AI13" i="62"/>
  <c r="AK13" i="62" s="1"/>
  <c r="AA20" i="62"/>
  <c r="AC20" i="62"/>
  <c r="AS22" i="62"/>
  <c r="AU22" i="62"/>
  <c r="R30" i="62"/>
  <c r="T30" i="62"/>
  <c r="AA29" i="62"/>
  <c r="AC29" i="62"/>
  <c r="S15" i="61"/>
  <c r="T15" i="61" s="1"/>
  <c r="I15" i="63" s="1"/>
  <c r="J15" i="63" s="1"/>
  <c r="K15" i="63" s="1"/>
  <c r="AB22" i="61"/>
  <c r="AC22" i="61" s="1"/>
  <c r="O22" i="63" s="1"/>
  <c r="P22" i="63" s="1"/>
  <c r="Q22" i="63" s="1"/>
  <c r="AI29" i="61"/>
  <c r="AU20" i="61"/>
  <c r="AV20" i="61" s="1"/>
  <c r="AA20" i="63" s="1"/>
  <c r="AC20" i="63" s="1"/>
  <c r="AI19" i="61"/>
  <c r="AI12" i="61"/>
  <c r="AK12" i="61" s="1"/>
  <c r="AL12" i="61" s="1"/>
  <c r="U12" i="63" s="1"/>
  <c r="V12" i="63" s="1"/>
  <c r="W12" i="63" s="1"/>
  <c r="AI8" i="61"/>
  <c r="K30" i="73"/>
  <c r="AG30" i="73"/>
  <c r="AE30" i="61" s="1"/>
  <c r="AI7" i="61"/>
  <c r="AK7" i="61" s="1"/>
  <c r="AL7" i="61" s="1"/>
  <c r="U7" i="63" s="1"/>
  <c r="M7" i="61"/>
  <c r="V7" i="73"/>
  <c r="V7" i="61" s="1"/>
  <c r="W6" i="61"/>
  <c r="N6" i="61"/>
  <c r="W26" i="73"/>
  <c r="W26" i="61" s="1"/>
  <c r="AB26" i="61" s="1"/>
  <c r="AC26" i="61" s="1"/>
  <c r="O26" i="63" s="1"/>
  <c r="P26" i="63" s="1"/>
  <c r="Q26" i="63" s="1"/>
  <c r="N26" i="61"/>
  <c r="S26" i="61" s="1"/>
  <c r="T26" i="61" s="1"/>
  <c r="I26" i="63" s="1"/>
  <c r="J26" i="63" s="1"/>
  <c r="K26" i="63" s="1"/>
  <c r="W20" i="73"/>
  <c r="W20" i="61" s="1"/>
  <c r="N20" i="61"/>
  <c r="M12" i="61"/>
  <c r="S12" i="61" s="1"/>
  <c r="T12" i="61" s="1"/>
  <c r="I12" i="63" s="1"/>
  <c r="J12" i="63" s="1"/>
  <c r="K12" i="63" s="1"/>
  <c r="V12" i="73"/>
  <c r="V12" i="61" s="1"/>
  <c r="AB12" i="61" s="1"/>
  <c r="AC12" i="61" s="1"/>
  <c r="O12" i="63" s="1"/>
  <c r="P12" i="63" s="1"/>
  <c r="Q12" i="63" s="1"/>
  <c r="AH19" i="73"/>
  <c r="AF19" i="61" s="1"/>
  <c r="L19" i="73"/>
  <c r="W7" i="61"/>
  <c r="N7" i="61"/>
  <c r="M29" i="61"/>
  <c r="V29" i="73"/>
  <c r="V29" i="61" s="1"/>
  <c r="AB29" i="61" s="1"/>
  <c r="AC29" i="61" s="1"/>
  <c r="O29" i="63" s="1"/>
  <c r="P29" i="63" s="1"/>
  <c r="Q29" i="63" s="1"/>
  <c r="M14" i="61"/>
  <c r="S14" i="61" s="1"/>
  <c r="T14" i="61" s="1"/>
  <c r="I14" i="63" s="1"/>
  <c r="V14" i="73"/>
  <c r="V14" i="61" s="1"/>
  <c r="AB14" i="61" s="1"/>
  <c r="AC14" i="61" s="1"/>
  <c r="O14" i="63" s="1"/>
  <c r="V8" i="73"/>
  <c r="V8" i="61" s="1"/>
  <c r="AB8" i="61" s="1"/>
  <c r="AC8" i="61" s="1"/>
  <c r="O8" i="63" s="1"/>
  <c r="M8" i="61"/>
  <c r="AG13" i="73"/>
  <c r="AE13" i="61" s="1"/>
  <c r="K13" i="73"/>
  <c r="AG20" i="73"/>
  <c r="AE20" i="61" s="1"/>
  <c r="K20" i="73"/>
  <c r="AI6" i="61"/>
  <c r="M6" i="61"/>
  <c r="V6" i="73"/>
  <c r="V6" i="61" s="1"/>
  <c r="AB6" i="61" s="1"/>
  <c r="AC6" i="61" s="1"/>
  <c r="O6" i="63" s="1"/>
  <c r="M19" i="61"/>
  <c r="V19" i="73"/>
  <c r="V19" i="61" s="1"/>
  <c r="AI9" i="61"/>
  <c r="AK9" i="61" s="1"/>
  <c r="AL9" i="61" s="1"/>
  <c r="U9" i="63" s="1"/>
  <c r="W9" i="73"/>
  <c r="W9" i="61" s="1"/>
  <c r="N9" i="61"/>
  <c r="M9" i="61"/>
  <c r="V9" i="73"/>
  <c r="V9" i="61" s="1"/>
  <c r="AK5" i="61"/>
  <c r="AL5" i="61" s="1"/>
  <c r="U5" i="63" s="1"/>
  <c r="V5" i="63" s="1"/>
  <c r="BE9" i="61"/>
  <c r="BF9" i="61" s="1"/>
  <c r="AG9" i="63" s="1"/>
  <c r="AK15" i="61"/>
  <c r="AL15" i="61" s="1"/>
  <c r="U15" i="63" s="1"/>
  <c r="V15" i="63" s="1"/>
  <c r="W15" i="63" s="1"/>
  <c r="S22" i="61"/>
  <c r="T22" i="61" s="1"/>
  <c r="I22" i="63" s="1"/>
  <c r="J22" i="63" s="1"/>
  <c r="K22" i="63" s="1"/>
  <c r="AB5" i="61"/>
  <c r="AC5" i="61" s="1"/>
  <c r="O5" i="63" s="1"/>
  <c r="P5" i="63" s="1"/>
  <c r="Q5" i="63" s="1"/>
  <c r="S31" i="61"/>
  <c r="T31" i="61" s="1"/>
  <c r="I31" i="63" s="1"/>
  <c r="J31" i="63" s="1"/>
  <c r="K31" i="63" s="1"/>
  <c r="S16" i="61"/>
  <c r="T16" i="61" s="1"/>
  <c r="I16" i="63" s="1"/>
  <c r="J16" i="63" s="1"/>
  <c r="K16" i="63" s="1"/>
  <c r="AB31" i="61"/>
  <c r="AC31" i="61" s="1"/>
  <c r="O31" i="63" s="1"/>
  <c r="P31" i="63" s="1"/>
  <c r="Q31" i="63" s="1"/>
  <c r="AB15" i="61"/>
  <c r="AC15" i="61" s="1"/>
  <c r="O15" i="63" s="1"/>
  <c r="P15" i="63" s="1"/>
  <c r="Q15" i="63" s="1"/>
  <c r="S5" i="61"/>
  <c r="T5" i="61" s="1"/>
  <c r="I5" i="63" s="1"/>
  <c r="J5" i="63" s="1"/>
  <c r="K5" i="63" s="1"/>
  <c r="AV8" i="61"/>
  <c r="AA8" i="63" s="1"/>
  <c r="AB8" i="63" s="1"/>
  <c r="AC8" i="63" s="1"/>
  <c r="AU30" i="61"/>
  <c r="AV30" i="61" s="1"/>
  <c r="AA30" i="63" s="1"/>
  <c r="AU6" i="61"/>
  <c r="AV6" i="61" s="1"/>
  <c r="AA6" i="63" s="1"/>
  <c r="AV7" i="61"/>
  <c r="AA7" i="63" s="1"/>
  <c r="BE7" i="61"/>
  <c r="BF7" i="61" s="1"/>
  <c r="AG7" i="63" s="1"/>
  <c r="AU9" i="61"/>
  <c r="AV9" i="61" s="1"/>
  <c r="AA9" i="63" s="1"/>
  <c r="AC9" i="63" s="1"/>
  <c r="AU26" i="61"/>
  <c r="AV26" i="61" s="1"/>
  <c r="AA26" i="63" s="1"/>
  <c r="AU13" i="61"/>
  <c r="AV13" i="61" s="1"/>
  <c r="AA13" i="63" s="1"/>
  <c r="BE8" i="61"/>
  <c r="BF8" i="61" s="1"/>
  <c r="AG8" i="63" s="1"/>
  <c r="K7" i="61"/>
  <c r="C7" i="63" s="1"/>
  <c r="D13" i="63"/>
  <c r="E13" i="63" s="1"/>
  <c r="D26" i="63"/>
  <c r="E26" i="63" s="1"/>
  <c r="F26" i="63" s="1"/>
  <c r="D12" i="63"/>
  <c r="E12" i="63" s="1"/>
  <c r="D22" i="63"/>
  <c r="E22" i="63" s="1"/>
  <c r="D16" i="63"/>
  <c r="E16" i="63" s="1"/>
  <c r="D30" i="63"/>
  <c r="E30" i="63" s="1"/>
  <c r="F30" i="63" s="1"/>
  <c r="AI14" i="61"/>
  <c r="AS19" i="52"/>
  <c r="K19" i="61"/>
  <c r="C19" i="63" s="1"/>
  <c r="D19" i="63" s="1"/>
  <c r="AO19" i="61"/>
  <c r="C5" i="63"/>
  <c r="AL16" i="61"/>
  <c r="U16" i="63" s="1"/>
  <c r="V16" i="63" s="1"/>
  <c r="W16" i="63" s="1"/>
  <c r="AA22" i="63"/>
  <c r="AB30" i="63" l="1"/>
  <c r="AC30" i="63" s="1"/>
  <c r="BN29" i="62"/>
  <c r="BY29" i="62" s="1"/>
  <c r="AB13" i="63"/>
  <c r="AC13" i="63" s="1"/>
  <c r="AB26" i="63"/>
  <c r="AC26" i="63" s="1"/>
  <c r="AB22" i="63"/>
  <c r="AC22" i="63" s="1"/>
  <c r="U9" i="62"/>
  <c r="BP9" i="62" s="1"/>
  <c r="AM22" i="62"/>
  <c r="BT22" i="62" s="1"/>
  <c r="AD9" i="62"/>
  <c r="BR9" i="62" s="1"/>
  <c r="BN6" i="62"/>
  <c r="BY6" i="62" s="1"/>
  <c r="AD19" i="62"/>
  <c r="BR19" i="62" s="1"/>
  <c r="BN19" i="62"/>
  <c r="BY19" i="62" s="1"/>
  <c r="AD6" i="62"/>
  <c r="BR6" i="62" s="1"/>
  <c r="BE9" i="62"/>
  <c r="BW9" i="62" s="1"/>
  <c r="BN30" i="62"/>
  <c r="BY30" i="62" s="1"/>
  <c r="BE6" i="62"/>
  <c r="BW6" i="62" s="1"/>
  <c r="BE8" i="62"/>
  <c r="BW8" i="62" s="1"/>
  <c r="U19" i="62"/>
  <c r="BP19" i="62" s="1"/>
  <c r="AM30" i="62"/>
  <c r="BT30" i="62" s="1"/>
  <c r="AV7" i="62"/>
  <c r="BV7" i="62" s="1"/>
  <c r="AD30" i="62"/>
  <c r="BR30" i="62" s="1"/>
  <c r="BN7" i="62"/>
  <c r="BY7" i="62" s="1"/>
  <c r="AV8" i="62"/>
  <c r="BV8" i="62" s="1"/>
  <c r="BE20" i="62"/>
  <c r="BW20" i="62" s="1"/>
  <c r="AD8" i="62"/>
  <c r="BR8" i="62" s="1"/>
  <c r="U5" i="62"/>
  <c r="BP5" i="62" s="1"/>
  <c r="AD22" i="62"/>
  <c r="BR22" i="62" s="1"/>
  <c r="U6" i="62"/>
  <c r="BP6" i="62" s="1"/>
  <c r="BN8" i="62"/>
  <c r="BY8" i="62" s="1"/>
  <c r="AM7" i="62"/>
  <c r="BT7" i="62" s="1"/>
  <c r="BE19" i="62"/>
  <c r="BW19" i="62" s="1"/>
  <c r="U22" i="62"/>
  <c r="BP22" i="62" s="1"/>
  <c r="F22" i="63" s="1"/>
  <c r="BE5" i="62"/>
  <c r="BW5" i="62" s="1"/>
  <c r="AM19" i="62"/>
  <c r="BT19" i="62" s="1"/>
  <c r="AM29" i="62"/>
  <c r="BT29" i="62" s="1"/>
  <c r="BN9" i="62"/>
  <c r="BY9" i="62" s="1"/>
  <c r="BE7" i="62"/>
  <c r="BW7" i="62" s="1"/>
  <c r="BB12" i="62"/>
  <c r="BD12" i="62"/>
  <c r="BE12" i="62" s="1"/>
  <c r="BW12" i="62" s="1"/>
  <c r="AD20" i="62"/>
  <c r="BR20" i="62" s="1"/>
  <c r="AJ12" i="62"/>
  <c r="AL12" i="62"/>
  <c r="R12" i="62"/>
  <c r="T12" i="62"/>
  <c r="AM8" i="62"/>
  <c r="BT8" i="62" s="1"/>
  <c r="BE22" i="62"/>
  <c r="BW22" i="62" s="1"/>
  <c r="BN5" i="62"/>
  <c r="BY5" i="62" s="1"/>
  <c r="BN20" i="62"/>
  <c r="BY20" i="62" s="1"/>
  <c r="AS12" i="62"/>
  <c r="AU12" i="62"/>
  <c r="Z15" i="62"/>
  <c r="AB15" i="62" s="1"/>
  <c r="P15" i="62"/>
  <c r="BI15" i="62"/>
  <c r="Q15" i="62"/>
  <c r="S15" i="62" s="1"/>
  <c r="AI15" i="62"/>
  <c r="AK15" i="62" s="1"/>
  <c r="AQ15" i="62"/>
  <c r="BJ15" i="62"/>
  <c r="BL15" i="62" s="1"/>
  <c r="Y15" i="62"/>
  <c r="BA15" i="62"/>
  <c r="BC15" i="62" s="1"/>
  <c r="AH15" i="62"/>
  <c r="AZ15" i="62"/>
  <c r="AR15" i="62"/>
  <c r="AT15" i="62" s="1"/>
  <c r="AS13" i="62"/>
  <c r="AU13" i="62"/>
  <c r="AD29" i="62"/>
  <c r="BR29" i="62" s="1"/>
  <c r="AA12" i="62"/>
  <c r="AC12" i="62"/>
  <c r="U29" i="62"/>
  <c r="BP29" i="62" s="1"/>
  <c r="AM20" i="62"/>
  <c r="BT20" i="62" s="1"/>
  <c r="AD5" i="62"/>
  <c r="BR5" i="62" s="1"/>
  <c r="AI16" i="62"/>
  <c r="AK16" i="62" s="1"/>
  <c r="Q16" i="62"/>
  <c r="S16" i="62" s="1"/>
  <c r="Y16" i="62"/>
  <c r="BA16" i="62"/>
  <c r="BC16" i="62" s="1"/>
  <c r="BI16" i="62"/>
  <c r="AZ16" i="62"/>
  <c r="P16" i="62"/>
  <c r="AR16" i="62"/>
  <c r="AT16" i="62" s="1"/>
  <c r="Z16" i="62"/>
  <c r="AB16" i="62" s="1"/>
  <c r="BJ16" i="62"/>
  <c r="BL16" i="62" s="1"/>
  <c r="AQ16" i="62"/>
  <c r="AH16" i="62"/>
  <c r="BK12" i="62"/>
  <c r="BM12" i="62"/>
  <c r="BB13" i="62"/>
  <c r="BD13" i="62"/>
  <c r="R13" i="62"/>
  <c r="T13" i="62"/>
  <c r="U13" i="62" s="1"/>
  <c r="BP13" i="62" s="1"/>
  <c r="F13" i="63" s="1"/>
  <c r="U30" i="62"/>
  <c r="BP30" i="62" s="1"/>
  <c r="BE30" i="62"/>
  <c r="BW30" i="62" s="1"/>
  <c r="BK13" i="62"/>
  <c r="BM13" i="62"/>
  <c r="Y31" i="62"/>
  <c r="AZ31" i="62"/>
  <c r="BJ31" i="62"/>
  <c r="BL31" i="62" s="1"/>
  <c r="P31" i="62"/>
  <c r="BA31" i="62"/>
  <c r="BC31" i="62" s="1"/>
  <c r="BI31" i="62"/>
  <c r="Q31" i="62"/>
  <c r="S31" i="62" s="1"/>
  <c r="Z31" i="62"/>
  <c r="AB31" i="62" s="1"/>
  <c r="AQ31" i="62"/>
  <c r="AH31" i="62"/>
  <c r="AI31" i="62"/>
  <c r="AK31" i="62" s="1"/>
  <c r="AR31" i="62"/>
  <c r="AT31" i="62" s="1"/>
  <c r="AZ14" i="62"/>
  <c r="Y14" i="62"/>
  <c r="P14" i="62"/>
  <c r="AI14" i="62"/>
  <c r="AK14" i="62" s="1"/>
  <c r="BI14" i="62"/>
  <c r="Z14" i="62"/>
  <c r="AB14" i="62" s="1"/>
  <c r="BJ14" i="62"/>
  <c r="BL14" i="62" s="1"/>
  <c r="BA14" i="62"/>
  <c r="BC14" i="62" s="1"/>
  <c r="Q14" i="62"/>
  <c r="S14" i="62" s="1"/>
  <c r="AH14" i="62"/>
  <c r="AQ14" i="62"/>
  <c r="AR14" i="62"/>
  <c r="AT14" i="62" s="1"/>
  <c r="AC13" i="62"/>
  <c r="AD13" i="62" s="1"/>
  <c r="BR13" i="62" s="1"/>
  <c r="AV22" i="62"/>
  <c r="BV22" i="62" s="1"/>
  <c r="AV5" i="62"/>
  <c r="BV5" i="62" s="1"/>
  <c r="AV30" i="62"/>
  <c r="BV30" i="62" s="1"/>
  <c r="AV29" i="62"/>
  <c r="BV29" i="62" s="1"/>
  <c r="AV19" i="62"/>
  <c r="BV19" i="62" s="1"/>
  <c r="AL13" i="62"/>
  <c r="AM13" i="62" s="1"/>
  <c r="BT13" i="62" s="1"/>
  <c r="AM9" i="62"/>
  <c r="BT9" i="62" s="1"/>
  <c r="W5" i="63"/>
  <c r="P8" i="63"/>
  <c r="Q8" i="63" s="1"/>
  <c r="AH8" i="63"/>
  <c r="AI8" i="63" s="1"/>
  <c r="AC7" i="63"/>
  <c r="AK19" i="61"/>
  <c r="S9" i="61"/>
  <c r="T9" i="61" s="1"/>
  <c r="I9" i="63" s="1"/>
  <c r="AB9" i="61"/>
  <c r="AC9" i="61" s="1"/>
  <c r="O9" i="63" s="1"/>
  <c r="AB7" i="61"/>
  <c r="AC7" i="61" s="1"/>
  <c r="O7" i="63" s="1"/>
  <c r="W19" i="73"/>
  <c r="W19" i="61" s="1"/>
  <c r="N19" i="61"/>
  <c r="S19" i="61" s="1"/>
  <c r="T19" i="61" s="1"/>
  <c r="I19" i="63" s="1"/>
  <c r="J19" i="63" s="1"/>
  <c r="K19" i="63" s="1"/>
  <c r="V20" i="73"/>
  <c r="V20" i="61" s="1"/>
  <c r="AB20" i="61" s="1"/>
  <c r="AC20" i="61" s="1"/>
  <c r="O20" i="63" s="1"/>
  <c r="M20" i="61"/>
  <c r="S20" i="61" s="1"/>
  <c r="T20" i="61" s="1"/>
  <c r="I20" i="63" s="1"/>
  <c r="M13" i="61"/>
  <c r="V13" i="73"/>
  <c r="V13" i="61" s="1"/>
  <c r="AB13" i="61" s="1"/>
  <c r="AC13" i="61" s="1"/>
  <c r="O13" i="63" s="1"/>
  <c r="P13" i="63" s="1"/>
  <c r="Q13" i="63" s="1"/>
  <c r="M30" i="61"/>
  <c r="V30" i="73"/>
  <c r="V30" i="61" s="1"/>
  <c r="AB30" i="61" s="1"/>
  <c r="AC30" i="61" s="1"/>
  <c r="O30" i="63" s="1"/>
  <c r="P30" i="63" s="1"/>
  <c r="Q30" i="63" s="1"/>
  <c r="AK6" i="61"/>
  <c r="AL6" i="61" s="1"/>
  <c r="U6" i="63" s="1"/>
  <c r="AK8" i="61"/>
  <c r="AL8" i="61" s="1"/>
  <c r="U8" i="63" s="1"/>
  <c r="V8" i="63" s="1"/>
  <c r="AK14" i="61"/>
  <c r="AL14" i="61" s="1"/>
  <c r="U14" i="63" s="1"/>
  <c r="AK29" i="61"/>
  <c r="AL29" i="61" s="1"/>
  <c r="U29" i="63" s="1"/>
  <c r="V29" i="63" s="1"/>
  <c r="W29" i="63" s="1"/>
  <c r="S6" i="61"/>
  <c r="T6" i="61" s="1"/>
  <c r="I6" i="63" s="1"/>
  <c r="S7" i="61"/>
  <c r="T7" i="61" s="1"/>
  <c r="I7" i="63" s="1"/>
  <c r="S29" i="61"/>
  <c r="T29" i="61" s="1"/>
  <c r="I29" i="63" s="1"/>
  <c r="J29" i="63" s="1"/>
  <c r="K29" i="63" s="1"/>
  <c r="S8" i="61"/>
  <c r="T8" i="61" s="1"/>
  <c r="I8" i="63" s="1"/>
  <c r="AU19" i="61"/>
  <c r="AV19" i="61" s="1"/>
  <c r="AA19" i="63" s="1"/>
  <c r="D5" i="63"/>
  <c r="E5" i="63" s="1"/>
  <c r="E19" i="63"/>
  <c r="F19" i="63" s="1"/>
  <c r="AI13" i="61"/>
  <c r="AI30" i="61"/>
  <c r="AI20" i="61"/>
  <c r="AL22" i="61"/>
  <c r="U22" i="63" s="1"/>
  <c r="V22" i="63" s="1"/>
  <c r="W22" i="63" s="1"/>
  <c r="AB19" i="63" l="1"/>
  <c r="AC19" i="63" s="1"/>
  <c r="F5" i="63"/>
  <c r="AJ8" i="63"/>
  <c r="BE13" i="62"/>
  <c r="BW13" i="62" s="1"/>
  <c r="AD12" i="62"/>
  <c r="BR12" i="62" s="1"/>
  <c r="AM12" i="62"/>
  <c r="BT12" i="62" s="1"/>
  <c r="BN13" i="62"/>
  <c r="BY13" i="62" s="1"/>
  <c r="BN12" i="62"/>
  <c r="BY12" i="62" s="1"/>
  <c r="U12" i="62"/>
  <c r="BP12" i="62" s="1"/>
  <c r="F12" i="63" s="1"/>
  <c r="AS14" i="62"/>
  <c r="AU14" i="62"/>
  <c r="R14" i="62"/>
  <c r="T14" i="62"/>
  <c r="AV13" i="62"/>
  <c r="BV13" i="62" s="1"/>
  <c r="AS15" i="62"/>
  <c r="AU15" i="62"/>
  <c r="AJ14" i="62"/>
  <c r="AL14" i="62"/>
  <c r="AA14" i="62"/>
  <c r="AC14" i="62"/>
  <c r="BK31" i="62"/>
  <c r="BM31" i="62"/>
  <c r="R16" i="62"/>
  <c r="T16" i="62"/>
  <c r="BB14" i="62"/>
  <c r="BD14" i="62"/>
  <c r="BB16" i="62"/>
  <c r="BD16" i="62"/>
  <c r="R31" i="62"/>
  <c r="T31" i="62"/>
  <c r="BK16" i="62"/>
  <c r="BM16" i="62"/>
  <c r="BB15" i="62"/>
  <c r="BD15" i="62"/>
  <c r="BK15" i="62"/>
  <c r="BM15" i="62"/>
  <c r="AJ16" i="62"/>
  <c r="AL16" i="62"/>
  <c r="AJ15" i="62"/>
  <c r="AL15" i="62"/>
  <c r="AM15" i="62" s="1"/>
  <c r="BT15" i="62" s="1"/>
  <c r="R15" i="62"/>
  <c r="T15" i="62"/>
  <c r="AJ31" i="62"/>
  <c r="AL31" i="62"/>
  <c r="BB31" i="62"/>
  <c r="BD31" i="62"/>
  <c r="AS16" i="62"/>
  <c r="AU16" i="62"/>
  <c r="AA16" i="62"/>
  <c r="AC16" i="62"/>
  <c r="BK14" i="62"/>
  <c r="BM14" i="62"/>
  <c r="AS31" i="62"/>
  <c r="AU31" i="62"/>
  <c r="AV31" i="62" s="1"/>
  <c r="BV31" i="62" s="1"/>
  <c r="AA31" i="62"/>
  <c r="AC31" i="62"/>
  <c r="AA15" i="62"/>
  <c r="AC15" i="62"/>
  <c r="AV12" i="62"/>
  <c r="BV12" i="62" s="1"/>
  <c r="J8" i="63"/>
  <c r="K8" i="63" s="1"/>
  <c r="W8" i="63"/>
  <c r="AK30" i="61"/>
  <c r="AL30" i="61" s="1"/>
  <c r="U30" i="63" s="1"/>
  <c r="V30" i="63" s="1"/>
  <c r="W30" i="63" s="1"/>
  <c r="AK13" i="61"/>
  <c r="AL13" i="61" s="1"/>
  <c r="U13" i="63" s="1"/>
  <c r="V13" i="63" s="1"/>
  <c r="W13" i="63" s="1"/>
  <c r="AK20" i="61"/>
  <c r="AL20" i="61" s="1"/>
  <c r="U20" i="63" s="1"/>
  <c r="S30" i="61"/>
  <c r="T30" i="61" s="1"/>
  <c r="I30" i="63" s="1"/>
  <c r="J30" i="63" s="1"/>
  <c r="K30" i="63" s="1"/>
  <c r="S13" i="61"/>
  <c r="T13" i="61" s="1"/>
  <c r="I13" i="63" s="1"/>
  <c r="J13" i="63" s="1"/>
  <c r="K13" i="63" s="1"/>
  <c r="AB19" i="61"/>
  <c r="AC19" i="61" s="1"/>
  <c r="O19" i="63" s="1"/>
  <c r="P19" i="63" s="1"/>
  <c r="Q19" i="63" s="1"/>
  <c r="AL19" i="61"/>
  <c r="AV16" i="62" l="1"/>
  <c r="BV16" i="62" s="1"/>
  <c r="BE15" i="62"/>
  <c r="BW15" i="62" s="1"/>
  <c r="BE16" i="62"/>
  <c r="BW16" i="62" s="1"/>
  <c r="U14" i="62"/>
  <c r="BP14" i="62" s="1"/>
  <c r="AD16" i="62"/>
  <c r="BR16" i="62" s="1"/>
  <c r="BN15" i="62"/>
  <c r="BY15" i="62" s="1"/>
  <c r="AJ15" i="63" s="1"/>
  <c r="AM16" i="62"/>
  <c r="BT16" i="62" s="1"/>
  <c r="BN14" i="62"/>
  <c r="BY14" i="62" s="1"/>
  <c r="U31" i="62"/>
  <c r="BP31" i="62" s="1"/>
  <c r="BN31" i="62"/>
  <c r="BY31" i="62" s="1"/>
  <c r="BE14" i="62"/>
  <c r="BW14" i="62" s="1"/>
  <c r="AV14" i="62"/>
  <c r="BV14" i="62" s="1"/>
  <c r="U16" i="62"/>
  <c r="BP16" i="62" s="1"/>
  <c r="F16" i="63" s="1"/>
  <c r="AV15" i="62"/>
  <c r="BV15" i="62" s="1"/>
  <c r="BE31" i="62"/>
  <c r="BW31" i="62" s="1"/>
  <c r="BN16" i="62"/>
  <c r="BY16" i="62" s="1"/>
  <c r="AD14" i="62"/>
  <c r="BR14" i="62" s="1"/>
  <c r="AD15" i="62"/>
  <c r="BR15" i="62" s="1"/>
  <c r="AM31" i="62"/>
  <c r="BT31" i="62" s="1"/>
  <c r="AM14" i="62"/>
  <c r="BT14" i="62" s="1"/>
  <c r="AD31" i="62"/>
  <c r="BR31" i="62" s="1"/>
  <c r="U15" i="62"/>
  <c r="BP15" i="62" s="1"/>
  <c r="F15" i="63" s="1"/>
  <c r="U19" i="63"/>
  <c r="V19" i="63" s="1"/>
  <c r="W19" i="63" s="1"/>
  <c r="K6" i="61" l="1"/>
  <c r="C6" i="63" s="1"/>
  <c r="K8" i="61"/>
  <c r="C8" i="63" s="1"/>
  <c r="D8" i="63" l="1"/>
  <c r="E8" i="63" s="1"/>
  <c r="F8" i="63" s="1"/>
  <c r="AY22" i="61"/>
  <c r="AY13" i="61"/>
  <c r="AY12" i="61"/>
  <c r="AY19" i="61"/>
  <c r="AY29" i="61"/>
  <c r="AY5" i="61"/>
  <c r="BE5" i="61" s="1"/>
  <c r="AY30" i="61"/>
  <c r="AY16" i="61"/>
  <c r="AY26" i="61"/>
  <c r="AY20" i="61"/>
  <c r="AY6" i="61"/>
  <c r="BE13" i="61" l="1"/>
  <c r="BF13" i="61" s="1"/>
  <c r="AG13" i="63" s="1"/>
  <c r="AH13" i="63" s="1"/>
  <c r="AI13" i="63" s="1"/>
  <c r="AJ13" i="63" s="1"/>
  <c r="BE29" i="61"/>
  <c r="BF29" i="61" s="1"/>
  <c r="AG29" i="63" s="1"/>
  <c r="AH29" i="63" s="1"/>
  <c r="AI29" i="63" s="1"/>
  <c r="AJ29" i="63" s="1"/>
  <c r="BE12" i="61"/>
  <c r="BF12" i="61" s="1"/>
  <c r="AG12" i="63" s="1"/>
  <c r="AH12" i="63" s="1"/>
  <c r="AI12" i="63" s="1"/>
  <c r="AJ12" i="63" s="1"/>
  <c r="BE26" i="61"/>
  <c r="BF26" i="61" s="1"/>
  <c r="AG26" i="63" s="1"/>
  <c r="AH26" i="63" s="1"/>
  <c r="AI26" i="63" s="1"/>
  <c r="AJ26" i="63" s="1"/>
  <c r="BE22" i="61"/>
  <c r="BF22" i="61" s="1"/>
  <c r="AG22" i="63" s="1"/>
  <c r="AH22" i="63" s="1"/>
  <c r="AI22" i="63" s="1"/>
  <c r="AJ22" i="63" s="1"/>
  <c r="BE30" i="61"/>
  <c r="BF30" i="61" s="1"/>
  <c r="AG30" i="63" s="1"/>
  <c r="AH30" i="63" s="1"/>
  <c r="AI30" i="63" s="1"/>
  <c r="AJ30" i="63" s="1"/>
  <c r="BE19" i="61"/>
  <c r="BF19" i="61" s="1"/>
  <c r="AG19" i="63" s="1"/>
  <c r="AH19" i="63" s="1"/>
  <c r="AI19" i="63" s="1"/>
  <c r="AJ19" i="63" s="1"/>
  <c r="BE6" i="61"/>
  <c r="BF6" i="61" s="1"/>
  <c r="AG6" i="63" s="1"/>
  <c r="BE20" i="61"/>
  <c r="BF20" i="61" s="1"/>
  <c r="AG20" i="63" s="1"/>
  <c r="BE16" i="61"/>
  <c r="BF16" i="61" s="1"/>
  <c r="AG16" i="63" s="1"/>
  <c r="AH16" i="63" s="1"/>
  <c r="AI16" i="63" s="1"/>
  <c r="AJ16" i="63" s="1"/>
  <c r="BF5" i="61"/>
  <c r="AG5" i="63" s="1"/>
  <c r="AH5" i="63" s="1"/>
  <c r="AI5" i="63" s="1"/>
  <c r="AJ5" i="63" s="1"/>
  <c r="I20" i="72" l="1"/>
  <c r="L20" i="72" l="1"/>
  <c r="L19" i="72"/>
  <c r="K20" i="72" l="1"/>
  <c r="V20" i="72" l="1"/>
  <c r="U20" i="72"/>
  <c r="CA20" i="72"/>
  <c r="AT20" i="72"/>
  <c r="AU20" i="72" s="1"/>
  <c r="AR20" i="72"/>
  <c r="AS20" i="72" s="1"/>
  <c r="BY20" i="72"/>
  <c r="J20" i="72"/>
  <c r="BX20" i="72"/>
  <c r="BZ20" i="72" l="1"/>
  <c r="BM20" i="72"/>
  <c r="BP20" i="72"/>
  <c r="R20" i="72"/>
  <c r="BQ20" i="72" s="1"/>
  <c r="Q20" i="72"/>
  <c r="AJ20" i="72"/>
  <c r="AG20" i="72"/>
  <c r="AF20" i="72"/>
  <c r="CB20" i="72"/>
  <c r="BO20" i="72" l="1"/>
  <c r="CZ20" i="72"/>
  <c r="AH20" i="72"/>
  <c r="AB20" i="72"/>
  <c r="CD20" i="72"/>
  <c r="CE20" i="72" s="1"/>
  <c r="CC20" i="72"/>
  <c r="AW20" i="72"/>
  <c r="AX20" i="72" s="1"/>
  <c r="AV20" i="72"/>
  <c r="AL20" i="72"/>
  <c r="AM20" i="72" s="1"/>
  <c r="AK20" i="72"/>
  <c r="BR20" i="72"/>
  <c r="BS20" i="72"/>
  <c r="BT20" i="72" s="1"/>
  <c r="AQ20" i="72"/>
  <c r="BM12" i="72"/>
  <c r="DA20"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Jasmine Singh</author>
    <author>Eric Chisholm</author>
  </authors>
  <commentList>
    <comment ref="B11" authorId="0" shapeId="0" xr:uid="{2500E5E2-A2FD-4A50-8D6C-8608CB4D5037}">
      <text>
        <r>
          <rPr>
            <b/>
            <sz val="9"/>
            <color indexed="81"/>
            <rFont val="Tahoma"/>
            <family val="2"/>
          </rPr>
          <t>User Note:</t>
        </r>
        <r>
          <rPr>
            <sz val="9"/>
            <color indexed="81"/>
            <rFont val="Tahoma"/>
            <family val="2"/>
          </rPr>
          <t xml:space="preserve">
This input is used to determine which heating source the building typologies referenced in this workbook are transitioning from.
The empty spaces are included to add more than the initial 3 heating sources to the dropdown menu in the [Building Typology] tab.</t>
        </r>
      </text>
    </comment>
    <comment ref="K11" authorId="0" shapeId="0" xr:uid="{44B99B07-11CC-4029-B453-0029757EF4D0}">
      <text>
        <r>
          <rPr>
            <b/>
            <sz val="9"/>
            <color indexed="81"/>
            <rFont val="Tahoma"/>
            <family val="2"/>
          </rPr>
          <t>User Note:</t>
        </r>
        <r>
          <rPr>
            <sz val="9"/>
            <color indexed="81"/>
            <rFont val="Tahoma"/>
            <family val="2"/>
          </rPr>
          <t xml:space="preserve">
Use the input notes to justify or provide sourced of the assumed values in the adjacent table</t>
        </r>
      </text>
    </comment>
    <comment ref="K22" authorId="0" shapeId="0" xr:uid="{55AC5970-EF7A-4AB2-8F26-C12A8E3D0EB3}">
      <text>
        <r>
          <rPr>
            <b/>
            <sz val="9"/>
            <color indexed="81"/>
            <rFont val="Tahoma"/>
            <family val="2"/>
          </rPr>
          <t>User Note:</t>
        </r>
        <r>
          <rPr>
            <sz val="9"/>
            <color indexed="81"/>
            <rFont val="Tahoma"/>
            <family val="2"/>
          </rPr>
          <t xml:space="preserve">
Use the input notes to justify or provide sourced of the assumed values in the adjacent table</t>
        </r>
      </text>
    </comment>
    <comment ref="B24" authorId="0" shapeId="0" xr:uid="{9589A4C6-70DA-4000-BE2D-E0475E4CDBA1}">
      <text>
        <r>
          <rPr>
            <b/>
            <sz val="9"/>
            <color indexed="81"/>
            <rFont val="Tahoma"/>
            <family val="2"/>
          </rPr>
          <t>User Note:</t>
        </r>
        <r>
          <rPr>
            <sz val="9"/>
            <color indexed="81"/>
            <rFont val="Tahoma"/>
            <family val="2"/>
          </rPr>
          <t xml:space="preserve">
Contingency costs should be inclusive of construction, design/scope, and any other relevant contingencies</t>
        </r>
      </text>
    </comment>
    <comment ref="E27" authorId="0" shapeId="0" xr:uid="{2181A627-3663-4700-8B95-0BF144164260}">
      <text>
        <r>
          <rPr>
            <b/>
            <sz val="9"/>
            <color indexed="81"/>
            <rFont val="Tahoma"/>
            <family val="2"/>
          </rPr>
          <t>User Note:</t>
        </r>
        <r>
          <rPr>
            <sz val="9"/>
            <color indexed="81"/>
            <rFont val="Tahoma"/>
            <family val="2"/>
          </rPr>
          <t xml:space="preserve">
Total Multiplier methodology is as folows (GC + CC + PM)*Tax</t>
        </r>
      </text>
    </comment>
    <comment ref="E29" authorId="1" shapeId="0" xr:uid="{1CC07C09-1B8C-47F6-B7EF-FEB0BC1953AE}">
      <text>
        <r>
          <rPr>
            <b/>
            <sz val="9"/>
            <color indexed="81"/>
            <rFont val="Tahoma"/>
            <family val="2"/>
          </rPr>
          <t>User Note:</t>
        </r>
        <r>
          <rPr>
            <sz val="9"/>
            <color indexed="81"/>
            <rFont val="Tahoma"/>
            <family val="2"/>
          </rPr>
          <t xml:space="preserve">
see Energy Star Portfolio Manager 'Thermal Conversions' Technical Reference</t>
        </r>
      </text>
    </comment>
    <comment ref="G29" authorId="1" shapeId="0" xr:uid="{BC25628E-8435-400B-9C2E-9A090A931D38}">
      <text>
        <r>
          <rPr>
            <b/>
            <sz val="9"/>
            <color indexed="81"/>
            <rFont val="Tahoma"/>
            <family val="2"/>
          </rPr>
          <t>User Note:</t>
        </r>
        <r>
          <rPr>
            <sz val="9"/>
            <color indexed="81"/>
            <rFont val="Tahoma"/>
            <family val="2"/>
          </rPr>
          <t xml:space="preserve">
This value is from the baseline year to 2050.
Refer to Canada's latest National Inventory Report for emission intensity values by fuel. 
Electricity values vary considerably by province, and occasionally by historic year.
Fuel values vary modestly by province.</t>
        </r>
      </text>
    </comment>
    <comment ref="K29" authorId="0" shapeId="0" xr:uid="{A750B030-9D6C-45C9-8A6A-742AB525EF0A}">
      <text>
        <r>
          <rPr>
            <b/>
            <sz val="9"/>
            <color indexed="81"/>
            <rFont val="Tahoma"/>
            <family val="2"/>
          </rPr>
          <t>User Note:</t>
        </r>
        <r>
          <rPr>
            <sz val="9"/>
            <color indexed="81"/>
            <rFont val="Tahoma"/>
            <family val="2"/>
          </rPr>
          <t xml:space="preserve">
Use the input notes to justify or provide sourced of the assumed values in the adjacent table</t>
        </r>
      </text>
    </comment>
    <comment ref="D30" authorId="0" shapeId="0" xr:uid="{516E7935-FEF1-4145-948A-D3533C235466}">
      <text>
        <r>
          <rPr>
            <b/>
            <sz val="9"/>
            <color indexed="81"/>
            <rFont val="Tahoma"/>
            <family val="2"/>
          </rPr>
          <t>User Note:</t>
        </r>
        <r>
          <rPr>
            <sz val="9"/>
            <color indexed="81"/>
            <rFont val="Tahoma"/>
            <family val="2"/>
          </rPr>
          <t xml:space="preserve">
Inclusive of carbon price and/or tax in the baseline year.</t>
        </r>
      </text>
    </comment>
    <comment ref="D31" authorId="0" shapeId="0" xr:uid="{73F9901C-088C-4166-8475-75E545D643A9}">
      <text>
        <r>
          <rPr>
            <b/>
            <sz val="9"/>
            <color indexed="81"/>
            <rFont val="Tahoma"/>
            <family val="2"/>
          </rPr>
          <t>User Note:</t>
        </r>
        <r>
          <rPr>
            <sz val="9"/>
            <color indexed="81"/>
            <rFont val="Tahoma"/>
            <family val="2"/>
          </rPr>
          <t xml:space="preserve">
Inclusive of carbon price and/or tax in the baseline year.</t>
        </r>
      </text>
    </comment>
    <comment ref="D32" authorId="0" shapeId="0" xr:uid="{01DB54E6-2FF6-4F54-A1CC-C45B0A03F04E}">
      <text>
        <r>
          <rPr>
            <b/>
            <sz val="9"/>
            <color indexed="81"/>
            <rFont val="Tahoma"/>
            <family val="2"/>
          </rPr>
          <t>User Note:</t>
        </r>
        <r>
          <rPr>
            <sz val="9"/>
            <color indexed="81"/>
            <rFont val="Tahoma"/>
            <family val="2"/>
          </rPr>
          <t xml:space="preserve">
Inclusive of carbon price and/or tax in the baseline year.</t>
        </r>
      </text>
    </comment>
    <comment ref="D33" authorId="0" shapeId="0" xr:uid="{4CBF0277-4AE3-4B00-A535-16905B24544B}">
      <text>
        <r>
          <rPr>
            <b/>
            <sz val="9"/>
            <color indexed="81"/>
            <rFont val="Tahoma"/>
            <family val="2"/>
          </rPr>
          <t>User Note:</t>
        </r>
        <r>
          <rPr>
            <sz val="9"/>
            <color indexed="81"/>
            <rFont val="Tahoma"/>
            <family val="2"/>
          </rPr>
          <t xml:space="preserve">
Inclusive of carbon price and/or tax in the baseline year.</t>
        </r>
      </text>
    </comment>
    <comment ref="K35" authorId="0" shapeId="0" xr:uid="{CC6A7B91-1CF3-44A9-A9C7-B61A97F53546}">
      <text>
        <r>
          <rPr>
            <b/>
            <sz val="9"/>
            <color indexed="81"/>
            <rFont val="Tahoma"/>
            <family val="2"/>
          </rPr>
          <t>User Note:</t>
        </r>
        <r>
          <rPr>
            <sz val="9"/>
            <color indexed="81"/>
            <rFont val="Tahoma"/>
            <family val="2"/>
          </rPr>
          <t xml:space="preserve">
Use the input notes to justify or provide sourced of the assumed values in the adjacent table</t>
        </r>
      </text>
    </comment>
    <comment ref="K38" authorId="0" shapeId="0" xr:uid="{8C81B8C9-2181-4D8F-9D96-055A9EBB6B8B}">
      <text>
        <r>
          <rPr>
            <b/>
            <sz val="9"/>
            <color indexed="81"/>
            <rFont val="Tahoma"/>
            <family val="2"/>
          </rPr>
          <t>User Note:</t>
        </r>
        <r>
          <rPr>
            <sz val="9"/>
            <color indexed="81"/>
            <rFont val="Tahoma"/>
            <family val="2"/>
          </rPr>
          <t xml:space="preserve">
Use the input notes to justify or provide sourced of the assumed values in the adjacent table</t>
        </r>
      </text>
    </comment>
    <comment ref="K41" authorId="0" shapeId="0" xr:uid="{348211CE-E65F-42CF-9648-38461CE31A2D}">
      <text>
        <r>
          <rPr>
            <b/>
            <sz val="9"/>
            <color indexed="81"/>
            <rFont val="Tahoma"/>
            <family val="2"/>
          </rPr>
          <t>User Note:</t>
        </r>
        <r>
          <rPr>
            <sz val="9"/>
            <color indexed="81"/>
            <rFont val="Tahoma"/>
            <family val="2"/>
          </rPr>
          <t xml:space="preserve">
Use the input notes to justify or provide sourced of the assumed values in the adjacent table</t>
        </r>
      </text>
    </comment>
    <comment ref="K49" authorId="0" shapeId="0" xr:uid="{F595FF51-87B2-4FA1-900B-1BA158BBF720}">
      <text>
        <r>
          <rPr>
            <b/>
            <sz val="9"/>
            <color indexed="81"/>
            <rFont val="Tahoma"/>
            <family val="2"/>
          </rPr>
          <t>User Note:</t>
        </r>
        <r>
          <rPr>
            <sz val="9"/>
            <color indexed="81"/>
            <rFont val="Tahoma"/>
            <family val="2"/>
          </rPr>
          <t xml:space="preserve">
Use the input notes to justify or provide sourced of the assumed values in the adjacent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Jasmine Singh</author>
    <author>Eric Chisholm</author>
  </authors>
  <commentList>
    <comment ref="N2" authorId="0" shapeId="0" xr:uid="{AB458F9C-7514-46A1-B69F-21A2AD096B89}">
      <text>
        <r>
          <rPr>
            <b/>
            <sz val="9"/>
            <color indexed="81"/>
            <rFont val="Tahoma"/>
            <family val="2"/>
          </rPr>
          <t xml:space="preserve">User Note:
</t>
        </r>
        <r>
          <rPr>
            <sz val="9"/>
            <color indexed="81"/>
            <rFont val="Tahoma"/>
            <family val="2"/>
          </rPr>
          <t>for context to the reference EUI values (use of updating), please use the following links
https://natural-resources.canada.ca/energy-efficiency/energy-star-canada/energy-star-for-buildings/energy-benchmarking-technical-information/building-energy-use-surveys/19454
https://portfoliomanager.energystar.gov/pdf/reference/Canadian%20National%20Median%20Table.pdf</t>
        </r>
      </text>
    </comment>
    <comment ref="Q2" authorId="1" shapeId="0" xr:uid="{39117C1E-B0FE-422D-A17E-21C9B93CCA9C}">
      <text>
        <r>
          <rPr>
            <b/>
            <sz val="9"/>
            <color indexed="81"/>
            <rFont val="Tahoma"/>
            <family val="2"/>
          </rPr>
          <t>User Note:</t>
        </r>
        <r>
          <rPr>
            <sz val="9"/>
            <color indexed="81"/>
            <rFont val="Tahoma"/>
            <family val="2"/>
          </rPr>
          <t xml:space="preserve">
The energy allocated to each subcategory, based on measured energy use per occupancy area, allocated based on sub-category size and energy use.</t>
        </r>
      </text>
    </comment>
    <comment ref="C4" authorId="0" shapeId="0" xr:uid="{8B2F0E21-93D2-49A6-A2BE-071E0143763B}">
      <text>
        <r>
          <rPr>
            <b/>
            <sz val="9"/>
            <color indexed="81"/>
            <rFont val="Tahoma"/>
            <family val="2"/>
          </rPr>
          <t xml:space="preserve">User Note:
</t>
        </r>
        <r>
          <rPr>
            <sz val="9"/>
            <color indexed="81"/>
            <rFont val="Tahoma"/>
            <family val="2"/>
          </rPr>
          <t>If this is dark green, then the percentages enetered are equal to 100%, but if it is red, please change the percentages to add up to 100%</t>
        </r>
      </text>
    </comment>
    <comment ref="C11" authorId="0" shapeId="0" xr:uid="{5A0E921E-A765-4CDF-AB8F-3918A8ED68C6}">
      <text>
        <r>
          <rPr>
            <b/>
            <sz val="9"/>
            <color indexed="81"/>
            <rFont val="Tahoma"/>
            <family val="2"/>
          </rPr>
          <t xml:space="preserve">User Note:
</t>
        </r>
        <r>
          <rPr>
            <sz val="9"/>
            <color indexed="81"/>
            <rFont val="Tahoma"/>
            <family val="2"/>
          </rPr>
          <t>If this is dark green, then the percentages enetered are equal to 100%, but if it is red, please change the percentages to add up to 100%</t>
        </r>
      </text>
    </comment>
    <comment ref="C18" authorId="0" shapeId="0" xr:uid="{225D4590-DF3F-4374-9C0F-504B7702EBCD}">
      <text>
        <r>
          <rPr>
            <b/>
            <sz val="9"/>
            <color indexed="81"/>
            <rFont val="Tahoma"/>
            <family val="2"/>
          </rPr>
          <t xml:space="preserve">User Note:
</t>
        </r>
        <r>
          <rPr>
            <sz val="9"/>
            <color indexed="81"/>
            <rFont val="Tahoma"/>
            <family val="2"/>
          </rPr>
          <t>If this is dark green, then the percentages enetered are equal to 100%, but if it is red, please change the percentages to add up to 100%</t>
        </r>
      </text>
    </comment>
    <comment ref="C24" authorId="0" shapeId="0" xr:uid="{2D8361AD-0A58-4DDD-8455-BB92CCD3E2A2}">
      <text>
        <r>
          <rPr>
            <b/>
            <sz val="9"/>
            <color indexed="81"/>
            <rFont val="Tahoma"/>
            <family val="2"/>
          </rPr>
          <t xml:space="preserve">User Note:
</t>
        </r>
        <r>
          <rPr>
            <sz val="9"/>
            <color indexed="81"/>
            <rFont val="Tahoma"/>
            <family val="2"/>
          </rPr>
          <t>If this is dark green, then the percentages enetered are equal to 100%, but if it is red, please change the percentages to add up to 100%</t>
        </r>
      </text>
    </comment>
    <comment ref="C28" authorId="0" shapeId="0" xr:uid="{D89D10C9-7D96-4368-A29C-D34EBA884669}">
      <text>
        <r>
          <rPr>
            <b/>
            <sz val="9"/>
            <color indexed="81"/>
            <rFont val="Tahoma"/>
            <family val="2"/>
          </rPr>
          <t xml:space="preserve">User Note:
</t>
        </r>
        <r>
          <rPr>
            <sz val="9"/>
            <color indexed="81"/>
            <rFont val="Tahoma"/>
            <family val="2"/>
          </rPr>
          <t>If this is dark green, then the percentages enetered are equal to 100%, but if it is red, please change the percentages to add up to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Jasmine Singh</author>
  </authors>
  <commentList>
    <comment ref="A1" authorId="0" shapeId="0" xr:uid="{01A2D6FC-9216-4581-9FF8-331A742B5FE7}">
      <text>
        <r>
          <rPr>
            <b/>
            <sz val="9"/>
            <color indexed="81"/>
            <rFont val="Tahoma"/>
            <family val="2"/>
          </rPr>
          <t xml:space="preserve">User Note:
</t>
        </r>
        <r>
          <rPr>
            <sz val="9"/>
            <color indexed="81"/>
            <rFont val="Tahoma"/>
            <family val="2"/>
          </rPr>
          <t>The contingency applied to each retrofit varied based on the quaility of information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Jasmine Singh</author>
  </authors>
  <commentList>
    <comment ref="C1" authorId="0" shapeId="0" xr:uid="{6AB35A0D-74D6-4513-B6F5-F9ED5DBE17A1}">
      <text>
        <r>
          <rPr>
            <b/>
            <sz val="9"/>
            <color indexed="81"/>
            <rFont val="Tahoma"/>
            <family val="2"/>
          </rPr>
          <t xml:space="preserve">User Note:
</t>
        </r>
        <r>
          <rPr>
            <sz val="9"/>
            <color indexed="81"/>
            <rFont val="Tahoma"/>
            <family val="2"/>
          </rPr>
          <t>If there is no space heating plant, water heating plant, MAU, and etc. Just put input the unitary cost as $0</t>
        </r>
      </text>
    </comment>
    <comment ref="K1" authorId="0" shapeId="0" xr:uid="{237E621B-75FD-47DE-8B8C-629786426A60}">
      <text>
        <r>
          <rPr>
            <b/>
            <sz val="9"/>
            <color indexed="81"/>
            <rFont val="Tahoma"/>
            <family val="2"/>
          </rPr>
          <t xml:space="preserve">User Note:
</t>
        </r>
        <r>
          <rPr>
            <sz val="9"/>
            <color indexed="81"/>
            <rFont val="Tahoma"/>
            <family val="2"/>
          </rPr>
          <t>If there is no space heating plant, water heating plant, MAU, and etc. Just put input the unitary cost as $0</t>
        </r>
      </text>
    </comment>
    <comment ref="T1" authorId="0" shapeId="0" xr:uid="{0EE44DBA-33F0-4C52-AFC3-A5F1C435A170}">
      <text>
        <r>
          <rPr>
            <b/>
            <sz val="9"/>
            <color indexed="81"/>
            <rFont val="Tahoma"/>
            <family val="2"/>
          </rPr>
          <t xml:space="preserve">User Note:
</t>
        </r>
        <r>
          <rPr>
            <sz val="9"/>
            <color indexed="81"/>
            <rFont val="Tahoma"/>
            <family val="2"/>
          </rPr>
          <t>If there is no space heating plant, water heating plant, MAU, and etc. Just put input the unitary cost as $0</t>
        </r>
      </text>
    </comment>
    <comment ref="AE1" authorId="0" shapeId="0" xr:uid="{149CD105-729E-452E-B84E-FDC82DBD30CE}">
      <text>
        <r>
          <rPr>
            <b/>
            <sz val="9"/>
            <color indexed="81"/>
            <rFont val="Tahoma"/>
            <family val="2"/>
          </rPr>
          <t xml:space="preserve">User Note:
</t>
        </r>
        <r>
          <rPr>
            <sz val="9"/>
            <color indexed="81"/>
            <rFont val="Tahoma"/>
            <family val="2"/>
          </rPr>
          <t>If there is no space heating plant, water heating plant, MAU, and etc. Just put input the unitary cost as $0</t>
        </r>
      </text>
    </comment>
    <comment ref="AP1" authorId="0" shapeId="0" xr:uid="{62243940-F18C-419E-8544-4F7F9C9E605B}">
      <text>
        <r>
          <rPr>
            <b/>
            <sz val="9"/>
            <color indexed="81"/>
            <rFont val="Tahoma"/>
            <family val="2"/>
          </rPr>
          <t xml:space="preserve">User Note:
</t>
        </r>
        <r>
          <rPr>
            <sz val="9"/>
            <color indexed="81"/>
            <rFont val="Tahoma"/>
            <family val="2"/>
          </rPr>
          <t>If there is no space heating plant, water heating plant, MAU, and etc. Just put input the unitary cost as $0</t>
        </r>
      </text>
    </comment>
    <comment ref="AX1" authorId="0" shapeId="0" xr:uid="{05DC5CF8-C670-4E2E-B3ED-E16B82A1462E}">
      <text>
        <r>
          <rPr>
            <b/>
            <sz val="9"/>
            <color indexed="81"/>
            <rFont val="Tahoma"/>
            <family val="2"/>
          </rPr>
          <t xml:space="preserve">User Note:
</t>
        </r>
        <r>
          <rPr>
            <sz val="9"/>
            <color indexed="81"/>
            <rFont val="Tahoma"/>
            <family val="2"/>
          </rPr>
          <t>If there is no space heating plant, water heating plant, MAU, and etc. Just put input the unitary cost as $0</t>
        </r>
      </text>
    </comment>
    <comment ref="T2" authorId="0" shapeId="0" xr:uid="{F5ACDC79-A51B-456B-87CE-0BCE39DB60CC}">
      <text>
        <r>
          <rPr>
            <b/>
            <sz val="9"/>
            <color indexed="81"/>
            <rFont val="Tahoma"/>
            <family val="2"/>
          </rPr>
          <t xml:space="preserve">User Note: </t>
        </r>
        <r>
          <rPr>
            <sz val="9"/>
            <color indexed="81"/>
            <rFont val="Tahoma"/>
            <family val="2"/>
          </rPr>
          <t xml:space="preserve">
This column is unique to this retrofit type -  a hybrid plant is envisioned. This input represents the size of the dominant heating source of the hybrid system as a fraction of the total system size.
The backup system is assumed to be sized for the full system size.</t>
        </r>
      </text>
    </comment>
    <comment ref="AE2" authorId="0" shapeId="0" xr:uid="{3D101A75-8C9D-4124-B7D0-3315EE140D9F}">
      <text>
        <r>
          <rPr>
            <b/>
            <sz val="9"/>
            <color indexed="81"/>
            <rFont val="Tahoma"/>
            <family val="2"/>
          </rPr>
          <t xml:space="preserve">User Note: </t>
        </r>
        <r>
          <rPr>
            <sz val="9"/>
            <color indexed="81"/>
            <rFont val="Tahoma"/>
            <family val="2"/>
          </rPr>
          <t xml:space="preserve">
This column is unique to this retrofit type -  a hybrid plant is envisioned. This input represents the size of the dominant heating source of the hybrid system as a fraction of the total system size.
The backup system is assumed to be sized for the full system size.</t>
        </r>
      </text>
    </comment>
    <comment ref="H14" authorId="0" shapeId="0" xr:uid="{5B22E8BD-E956-40A1-A24E-8DE8BFEDBDAF}">
      <text>
        <r>
          <rPr>
            <b/>
            <sz val="9"/>
            <color indexed="81"/>
            <rFont val="Tahoma"/>
            <family val="2"/>
          </rPr>
          <t>User Note:</t>
        </r>
        <r>
          <rPr>
            <sz val="9"/>
            <color indexed="81"/>
            <rFont val="Tahoma"/>
            <family val="2"/>
          </rPr>
          <t xml:space="preserve">
This is the cost for electric baseboard heater replacements - $1500/ unit</t>
        </r>
      </text>
    </comment>
    <comment ref="A21" authorId="0" shapeId="0" xr:uid="{7605AED4-E619-4573-A840-75A4E4CBD63C}">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A25" authorId="0" shapeId="0" xr:uid="{56FBF8D2-8CD6-486B-957B-3BA8E8F43DB6}">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 Chisholm</author>
    <author>Jasmine Singh</author>
  </authors>
  <commentList>
    <comment ref="C4" authorId="0" shapeId="0" xr:uid="{9B7382CE-7838-4148-AF4F-DB89B16DFF83}">
      <text>
        <r>
          <rPr>
            <b/>
            <sz val="9"/>
            <color indexed="81"/>
            <rFont val="Tahoma"/>
            <family val="2"/>
          </rPr>
          <t>Eric Chisholm:</t>
        </r>
        <r>
          <rPr>
            <sz val="9"/>
            <color indexed="81"/>
            <rFont val="Tahoma"/>
            <family val="2"/>
          </rPr>
          <t xml:space="preserve">
Plant Capacity (MBH) x Unitary cost ($/MBH)</t>
        </r>
      </text>
    </comment>
    <comment ref="D4" authorId="0" shapeId="0" xr:uid="{AE1B2490-FA29-42A6-8AF3-C00671D916FD}">
      <text>
        <r>
          <rPr>
            <b/>
            <sz val="9"/>
            <color indexed="81"/>
            <rFont val="Tahoma"/>
            <family val="2"/>
          </rPr>
          <t>Eric Chisholm:</t>
        </r>
        <r>
          <rPr>
            <sz val="9"/>
            <color indexed="81"/>
            <rFont val="Tahoma"/>
            <family val="2"/>
          </rPr>
          <t xml:space="preserve">
Plant Capacity (MBH) x Unitary cost ($/MBH)</t>
        </r>
      </text>
    </comment>
    <comment ref="G4" authorId="0" shapeId="0" xr:uid="{1E8BB4C1-E183-491F-A90A-FA4FED97A971}">
      <text>
        <r>
          <rPr>
            <b/>
            <sz val="9"/>
            <color indexed="81"/>
            <rFont val="Tahoma"/>
            <family val="2"/>
          </rPr>
          <t>Eric Chisholm:</t>
        </r>
        <r>
          <rPr>
            <sz val="9"/>
            <color indexed="81"/>
            <rFont val="Tahoma"/>
            <family val="2"/>
          </rPr>
          <t xml:space="preserve">
Plant Capacity (MBH) x Unitary cost ($/MBH)</t>
        </r>
      </text>
    </comment>
    <comment ref="A21" authorId="1" shapeId="0" xr:uid="{8382E00A-3F4F-416C-9FA8-7D5F74F3301F}">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A25" authorId="1" shapeId="0" xr:uid="{AE9E8BC8-BE26-47FD-8922-32658F259BF2}">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 Chisholm</author>
    <author>Jasmine Singh</author>
  </authors>
  <commentList>
    <comment ref="AF5" authorId="0" shapeId="0" xr:uid="{5112F7B2-F6CE-44B2-9C78-BBA405975033}">
      <text>
        <r>
          <rPr>
            <b/>
            <sz val="9"/>
            <color indexed="81"/>
            <rFont val="Tahoma"/>
            <family val="2"/>
          </rPr>
          <t>User Note:</t>
        </r>
        <r>
          <rPr>
            <sz val="9"/>
            <color indexed="81"/>
            <rFont val="Tahoma"/>
            <family val="2"/>
          </rPr>
          <t xml:space="preserve">
Future research would benefit from allocating consumption between HP and gas consumption.
The current analysis assumes the RNG backup never operates, and the HP system is used for 100% of heating annually</t>
        </r>
      </text>
    </comment>
    <comment ref="C6" authorId="0" shapeId="0" xr:uid="{C16B28C9-85D3-4CCD-9C8B-B756B5A25F28}">
      <text>
        <r>
          <rPr>
            <b/>
            <sz val="9"/>
            <color indexed="81"/>
            <rFont val="Tahoma"/>
            <family val="2"/>
          </rPr>
          <t xml:space="preserve">User Note:
</t>
        </r>
        <r>
          <rPr>
            <sz val="9"/>
            <color indexed="81"/>
            <rFont val="Tahoma"/>
            <family val="2"/>
          </rPr>
          <t>District energy conversion is not evaluated by this tool. See methodology. Values assumed for this row are placeholders only.</t>
        </r>
      </text>
    </comment>
    <comment ref="C13" authorId="0" shapeId="0" xr:uid="{87BF43E9-30DA-4274-ABDA-7437C392DC8F}">
      <text>
        <r>
          <rPr>
            <b/>
            <sz val="9"/>
            <color indexed="81"/>
            <rFont val="Tahoma"/>
            <family val="2"/>
          </rPr>
          <t>User Note:</t>
        </r>
        <r>
          <rPr>
            <sz val="9"/>
            <color indexed="81"/>
            <rFont val="Tahoma"/>
            <family val="2"/>
          </rPr>
          <t xml:space="preserve">
Note that assumptions for these occupancy sub-categories result in negative values for electricity use. This is not an appropriate outcome for whole-building energy analysis. Since this analysis focuses on heating use, the cause was not investigated further.</t>
        </r>
      </text>
    </comment>
    <comment ref="C15" authorId="0" shapeId="0" xr:uid="{022FC153-4EB5-49FD-B97C-5B0C1C223697}">
      <text>
        <r>
          <rPr>
            <b/>
            <sz val="9"/>
            <color indexed="81"/>
            <rFont val="Tahoma"/>
            <family val="2"/>
          </rPr>
          <t>User Note:</t>
        </r>
        <r>
          <rPr>
            <sz val="9"/>
            <color indexed="81"/>
            <rFont val="Tahoma"/>
            <family val="2"/>
          </rPr>
          <t xml:space="preserve">
Note that assumptions for these occupancy sub-categories result in negative values for electricity use. This is not an appropriate outcome for whole-building energy analysis. Since this analysis focuses on heating use, the cause was not investigated further.</t>
        </r>
      </text>
    </comment>
    <comment ref="A21" authorId="1" shapeId="0" xr:uid="{DDD826B6-99FE-485E-B46D-71C349AD92DC}">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A25" authorId="1" shapeId="0" xr:uid="{56A81FEC-33D3-4F26-8BE7-629EA00DD993}">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D29" authorId="0" shapeId="0" xr:uid="{CDE2A12E-1D8E-4C69-BAE6-0CA7348821D6}">
      <text>
        <r>
          <rPr>
            <b/>
            <sz val="9"/>
            <color indexed="81"/>
            <rFont val="Tahoma"/>
            <family val="2"/>
          </rPr>
          <t>User note:</t>
        </r>
        <r>
          <rPr>
            <sz val="9"/>
            <color indexed="81"/>
            <rFont val="Tahoma"/>
            <family val="2"/>
          </rPr>
          <t xml:space="preserve">
The institutional default assumptions/ inputs were not validated. Values for baseline gas use appear to be far lower than expected. We recommend validating before using these inputs.</t>
        </r>
      </text>
    </comment>
    <comment ref="D30" authorId="0" shapeId="0" xr:uid="{5BF16957-0976-4CC5-83A7-ED75C65E388B}">
      <text>
        <r>
          <rPr>
            <b/>
            <sz val="9"/>
            <color indexed="81"/>
            <rFont val="Tahoma"/>
            <family val="2"/>
          </rPr>
          <t>User note:</t>
        </r>
        <r>
          <rPr>
            <sz val="9"/>
            <color indexed="81"/>
            <rFont val="Tahoma"/>
            <family val="2"/>
          </rPr>
          <t xml:space="preserve">
The institutional default assumptions/ inputs were not validated. Values for baseline gas use appear to be far lower than expected. We recommend validating before using these inputs.</t>
        </r>
      </text>
    </comment>
    <comment ref="D31" authorId="0" shapeId="0" xr:uid="{4B4C95BC-5E5C-4343-A3B9-E386868A16FA}">
      <text>
        <r>
          <rPr>
            <b/>
            <sz val="9"/>
            <color indexed="81"/>
            <rFont val="Tahoma"/>
            <family val="2"/>
          </rPr>
          <t>User note:</t>
        </r>
        <r>
          <rPr>
            <sz val="9"/>
            <color indexed="81"/>
            <rFont val="Tahoma"/>
            <family val="2"/>
          </rPr>
          <t xml:space="preserve">
The institutional default assumptions/ inputs were not validated. Values for baseline gas use appear to be far lower than expected. We recommend validating before using these inputs.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Jasmine Singh</author>
  </authors>
  <commentList>
    <comment ref="D2" authorId="0" shapeId="0" xr:uid="{954ADC06-84DA-4840-9268-070D87069021}">
      <text>
        <r>
          <rPr>
            <b/>
            <sz val="9"/>
            <color indexed="81"/>
            <rFont val="Tahoma"/>
            <family val="2"/>
          </rPr>
          <t>User Note:</t>
        </r>
        <r>
          <rPr>
            <sz val="9"/>
            <color indexed="81"/>
            <rFont val="Tahoma"/>
            <family val="2"/>
          </rPr>
          <t xml:space="preserve">
If the base case is not a gas retrofit, it will likely not be suitable for this conversion and won't be calculated further.</t>
        </r>
      </text>
    </comment>
    <comment ref="J2" authorId="0" shapeId="0" xr:uid="{29DEE543-AB1A-4C88-B132-B3A98FAF7DA1}">
      <text>
        <r>
          <rPr>
            <b/>
            <sz val="9"/>
            <color indexed="81"/>
            <rFont val="Tahoma"/>
            <family val="2"/>
          </rPr>
          <t>User Note:</t>
        </r>
        <r>
          <rPr>
            <sz val="9"/>
            <color indexed="81"/>
            <rFont val="Tahoma"/>
            <family val="2"/>
          </rPr>
          <t xml:space="preserve">
If the base case is not a gas retrofit, it will likely not be suitable for this conversion and won't be calculated further.</t>
        </r>
      </text>
    </comment>
    <comment ref="P2" authorId="0" shapeId="0" xr:uid="{C5863760-F00B-43C8-A81A-170848F7AF32}">
      <text>
        <r>
          <rPr>
            <b/>
            <sz val="9"/>
            <color indexed="81"/>
            <rFont val="Tahoma"/>
            <family val="2"/>
          </rPr>
          <t>User Note:</t>
        </r>
        <r>
          <rPr>
            <sz val="9"/>
            <color indexed="81"/>
            <rFont val="Tahoma"/>
            <family val="2"/>
          </rPr>
          <t xml:space="preserve">
If the base case is not a gas retrofit, it will likely not be suitable for this conversion and won't be calculated further.</t>
        </r>
      </text>
    </comment>
    <comment ref="V2" authorId="0" shapeId="0" xr:uid="{9F9111E0-21AE-4860-8B53-7D0E97CD65AC}">
      <text>
        <r>
          <rPr>
            <b/>
            <sz val="9"/>
            <color indexed="81"/>
            <rFont val="Tahoma"/>
            <family val="2"/>
          </rPr>
          <t>User Note:</t>
        </r>
        <r>
          <rPr>
            <sz val="9"/>
            <color indexed="81"/>
            <rFont val="Tahoma"/>
            <family val="2"/>
          </rPr>
          <t xml:space="preserve">
If the base case is not a gas retrofit, it will likely not be suitable for this conversion and won't be calculated further.</t>
        </r>
      </text>
    </comment>
    <comment ref="AB2" authorId="0" shapeId="0" xr:uid="{BD0A1896-AC34-47BA-8F43-1EBD896A2184}">
      <text>
        <r>
          <rPr>
            <b/>
            <sz val="9"/>
            <color indexed="81"/>
            <rFont val="Tahoma"/>
            <family val="2"/>
          </rPr>
          <t>User Note:</t>
        </r>
        <r>
          <rPr>
            <sz val="9"/>
            <color indexed="81"/>
            <rFont val="Tahoma"/>
            <family val="2"/>
          </rPr>
          <t xml:space="preserve">
If the base case is not a gas retrofit, it will likely not be suitable for this conversion and won't be calculated further.</t>
        </r>
      </text>
    </comment>
    <comment ref="AH2" authorId="0" shapeId="0" xr:uid="{AA87D4DA-47A2-4AD4-B712-0625EA4C7D36}">
      <text>
        <r>
          <rPr>
            <b/>
            <sz val="9"/>
            <color indexed="81"/>
            <rFont val="Tahoma"/>
            <family val="2"/>
          </rPr>
          <t>User Note:</t>
        </r>
        <r>
          <rPr>
            <sz val="9"/>
            <color indexed="81"/>
            <rFont val="Tahoma"/>
            <family val="2"/>
          </rPr>
          <t xml:space="preserve">
If the base case is not a gas retrofit, it will likely not be suitable for this conversion and won't be calculated further.</t>
        </r>
      </text>
    </comment>
    <comment ref="D6" authorId="0" shapeId="0" xr:uid="{BD312257-E204-43A7-B7D1-68364A4376D3}">
      <text>
        <r>
          <rPr>
            <b/>
            <sz val="9"/>
            <color indexed="81"/>
            <rFont val="Tahoma"/>
            <family val="2"/>
          </rPr>
          <t>User Note:</t>
        </r>
        <r>
          <rPr>
            <sz val="9"/>
            <color indexed="81"/>
            <rFont val="Tahoma"/>
            <family val="2"/>
          </rPr>
          <t xml:space="preserve">
District energy conversion is not evaluated by this tool. See methodology. Values calculated as $0 in this row.</t>
        </r>
      </text>
    </comment>
    <comment ref="J6" authorId="0" shapeId="0" xr:uid="{D43D1B51-0E3B-40FB-B292-6C0C259F903B}">
      <text>
        <r>
          <rPr>
            <b/>
            <sz val="9"/>
            <color indexed="81"/>
            <rFont val="Tahoma"/>
            <family val="2"/>
          </rPr>
          <t>User Note:</t>
        </r>
        <r>
          <rPr>
            <sz val="9"/>
            <color indexed="81"/>
            <rFont val="Tahoma"/>
            <family val="2"/>
          </rPr>
          <t xml:space="preserve">
District energy conversion is not evaluated by this tool. See methodology. Values calculated as $0 in this row.</t>
        </r>
      </text>
    </comment>
    <comment ref="P6" authorId="0" shapeId="0" xr:uid="{2E3423B6-5948-4FB6-8881-AC5F0385F156}">
      <text>
        <r>
          <rPr>
            <b/>
            <sz val="9"/>
            <color indexed="81"/>
            <rFont val="Tahoma"/>
            <family val="2"/>
          </rPr>
          <t>User Note:</t>
        </r>
        <r>
          <rPr>
            <sz val="9"/>
            <color indexed="81"/>
            <rFont val="Tahoma"/>
            <family val="2"/>
          </rPr>
          <t xml:space="preserve">
District energy conversion is not evaluated by this tool. See methodology. Values calculated as $0 in this row.</t>
        </r>
      </text>
    </comment>
    <comment ref="V6" authorId="0" shapeId="0" xr:uid="{1B34735B-8D32-4289-BD5D-314968692AF4}">
      <text>
        <r>
          <rPr>
            <b/>
            <sz val="9"/>
            <color indexed="81"/>
            <rFont val="Tahoma"/>
            <family val="2"/>
          </rPr>
          <t>User Note:</t>
        </r>
        <r>
          <rPr>
            <sz val="9"/>
            <color indexed="81"/>
            <rFont val="Tahoma"/>
            <family val="2"/>
          </rPr>
          <t xml:space="preserve">
District energy conversion is not evaluated by this tool. See methodology. Values calculated as $0 in this row.</t>
        </r>
      </text>
    </comment>
    <comment ref="AB6" authorId="0" shapeId="0" xr:uid="{8706F593-450B-44CA-A0E3-B3947B52FDBB}">
      <text>
        <r>
          <rPr>
            <b/>
            <sz val="9"/>
            <color indexed="81"/>
            <rFont val="Tahoma"/>
            <family val="2"/>
          </rPr>
          <t>User Note:</t>
        </r>
        <r>
          <rPr>
            <sz val="9"/>
            <color indexed="81"/>
            <rFont val="Tahoma"/>
            <family val="2"/>
          </rPr>
          <t xml:space="preserve">
District energy conversion is not evaluated by this tool. See methodology. Values calculated as $0 in this row.</t>
        </r>
      </text>
    </comment>
    <comment ref="AH6" authorId="0" shapeId="0" xr:uid="{73411798-D79F-4CBA-8216-DDA2D4074753}">
      <text>
        <r>
          <rPr>
            <b/>
            <sz val="9"/>
            <color indexed="81"/>
            <rFont val="Tahoma"/>
            <family val="2"/>
          </rPr>
          <t>User Note:</t>
        </r>
        <r>
          <rPr>
            <sz val="9"/>
            <color indexed="81"/>
            <rFont val="Tahoma"/>
            <family val="2"/>
          </rPr>
          <t xml:space="preserve">
District energy conversion is not evaluated by this tool. See methodology. Values calculated as $0 in this row.</t>
        </r>
      </text>
    </comment>
    <comment ref="D7" authorId="0" shapeId="0" xr:uid="{1623CC9C-AB73-4DB8-AE92-5D1C6D199784}">
      <text>
        <r>
          <rPr>
            <b/>
            <sz val="9"/>
            <color indexed="81"/>
            <rFont val="Tahoma"/>
            <family val="2"/>
          </rPr>
          <t>User Note:</t>
        </r>
        <r>
          <rPr>
            <sz val="9"/>
            <color indexed="81"/>
            <rFont val="Tahoma"/>
            <family val="2"/>
          </rPr>
          <t xml:space="preserve">
Electric conversion is not evaluated by this tool. See methodology. Values calculated as $0 in the applicable rows</t>
        </r>
      </text>
    </comment>
    <comment ref="J7" authorId="0" shapeId="0" xr:uid="{0F50145C-7086-4C5D-B698-883022BDD510}">
      <text>
        <r>
          <rPr>
            <b/>
            <sz val="9"/>
            <color indexed="81"/>
            <rFont val="Tahoma"/>
            <family val="2"/>
          </rPr>
          <t>User Note:</t>
        </r>
        <r>
          <rPr>
            <sz val="9"/>
            <color indexed="81"/>
            <rFont val="Tahoma"/>
            <family val="2"/>
          </rPr>
          <t xml:space="preserve">
Electric conversion is not evaluated by this tool. See methodology. Values calculated as $0 in the applicable rows</t>
        </r>
      </text>
    </comment>
    <comment ref="P7" authorId="0" shapeId="0" xr:uid="{FAEA446D-DD98-43D4-92C9-F256F6FCEC90}">
      <text>
        <r>
          <rPr>
            <b/>
            <sz val="9"/>
            <color indexed="81"/>
            <rFont val="Tahoma"/>
            <family val="2"/>
          </rPr>
          <t>User Note:</t>
        </r>
        <r>
          <rPr>
            <sz val="9"/>
            <color indexed="81"/>
            <rFont val="Tahoma"/>
            <family val="2"/>
          </rPr>
          <t xml:space="preserve">
Electric conversion is not evaluated by this tool. See methodology. Values calculated as $0 in the applicable rows</t>
        </r>
      </text>
    </comment>
    <comment ref="V7" authorId="0" shapeId="0" xr:uid="{C70172AC-A1B9-4F66-B26F-85EE10C54948}">
      <text>
        <r>
          <rPr>
            <b/>
            <sz val="9"/>
            <color indexed="81"/>
            <rFont val="Tahoma"/>
            <family val="2"/>
          </rPr>
          <t>User Note:</t>
        </r>
        <r>
          <rPr>
            <sz val="9"/>
            <color indexed="81"/>
            <rFont val="Tahoma"/>
            <family val="2"/>
          </rPr>
          <t xml:space="preserve">
Electric conversion is not evaluated by this tool. See methodology. Values calculated as $0 in the applicable rows</t>
        </r>
      </text>
    </comment>
    <comment ref="AB7" authorId="0" shapeId="0" xr:uid="{AABDA637-5A29-4E06-A6F9-8DBCD77EAB69}">
      <text>
        <r>
          <rPr>
            <b/>
            <sz val="9"/>
            <color indexed="81"/>
            <rFont val="Tahoma"/>
            <family val="2"/>
          </rPr>
          <t>User Note:</t>
        </r>
        <r>
          <rPr>
            <sz val="9"/>
            <color indexed="81"/>
            <rFont val="Tahoma"/>
            <family val="2"/>
          </rPr>
          <t xml:space="preserve">
Electric conversion is not evaluated by this tool. See methodology. Values calculated as $0 in the applicable rows</t>
        </r>
      </text>
    </comment>
    <comment ref="AH7" authorId="0" shapeId="0" xr:uid="{3953D59A-3275-412E-BD9C-EE31188E8C06}">
      <text>
        <r>
          <rPr>
            <b/>
            <sz val="9"/>
            <color indexed="81"/>
            <rFont val="Tahoma"/>
            <family val="2"/>
          </rPr>
          <t>User Note:</t>
        </r>
        <r>
          <rPr>
            <sz val="9"/>
            <color indexed="81"/>
            <rFont val="Tahoma"/>
            <family val="2"/>
          </rPr>
          <t xml:space="preserve">
Electric conversion is not evaluated by this tool. See methodology. Values calculated as $0 in the applicable rows</t>
        </r>
      </text>
    </comment>
    <comment ref="A21" authorId="0" shapeId="0" xr:uid="{1374DEA0-739A-4345-A52A-5423FB897EBF}">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A25" authorId="0" shapeId="0" xr:uid="{5F793AB8-DD36-4B62-9529-446214580DFA}">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Jasmine Singh</author>
    <author>Eric Chisholm</author>
  </authors>
  <commentList>
    <comment ref="H2" authorId="0" shapeId="0" xr:uid="{6E42D52A-BEA7-4575-88EB-A98CAFF29C85}">
      <text>
        <r>
          <rPr>
            <b/>
            <sz val="9"/>
            <color indexed="81"/>
            <rFont val="Tahoma"/>
            <family val="2"/>
          </rPr>
          <t>User Note:</t>
        </r>
        <r>
          <rPr>
            <sz val="9"/>
            <color indexed="81"/>
            <rFont val="Tahoma"/>
            <family val="2"/>
          </rPr>
          <t xml:space="preserve">
Assumes the building is 4 sided</t>
        </r>
      </text>
    </comment>
    <comment ref="Q2" authorId="1" shapeId="0" xr:uid="{68C75524-2EA7-49C1-BAAC-CD2C87332358}">
      <text>
        <r>
          <rPr>
            <b/>
            <sz val="9"/>
            <color indexed="81"/>
            <rFont val="Tahoma"/>
            <family val="2"/>
          </rPr>
          <t>Eric Chisholm:</t>
        </r>
        <r>
          <rPr>
            <sz val="9"/>
            <color indexed="81"/>
            <rFont val="Tahoma"/>
            <family val="2"/>
          </rPr>
          <t xml:space="preserve">
Wall area (m2)
x
[Heating Degree Days (K * days /yr) +
(Cooling Degree Days (K * days /yr)]
x
24 (hrs/day)
/
Insulation RSI (m2 * K / W)
/ 
277778 Wh / GJ
= GJ/yr
</t>
        </r>
      </text>
    </comment>
    <comment ref="AE12" authorId="0" shapeId="0" xr:uid="{D25E7B7D-4DBA-4975-A51D-26C29D2C6183}">
      <text>
        <r>
          <rPr>
            <b/>
            <sz val="9"/>
            <color indexed="81"/>
            <rFont val="Tahoma"/>
            <family val="2"/>
          </rPr>
          <t>User Note:</t>
        </r>
        <r>
          <rPr>
            <sz val="9"/>
            <color indexed="81"/>
            <rFont val="Tahoma"/>
            <family val="2"/>
          </rPr>
          <t xml:space="preserve">
This unitary cost was not originally specified and uses the same unitary cost as a High-Rise Hotel.</t>
        </r>
      </text>
    </comment>
    <comment ref="AE15" authorId="0" shapeId="0" xr:uid="{1D5B4FC9-507F-44E9-B26F-268A9438554D}">
      <text>
        <r>
          <rPr>
            <b/>
            <sz val="9"/>
            <color indexed="81"/>
            <rFont val="Tahoma"/>
            <family val="2"/>
          </rPr>
          <t>User Note:</t>
        </r>
        <r>
          <rPr>
            <sz val="9"/>
            <color indexed="81"/>
            <rFont val="Tahoma"/>
            <family val="2"/>
          </rPr>
          <t xml:space="preserve">
This unitary cost was not originally specified and uses the same unitary cost as a High-Rise Hotel.</t>
        </r>
      </text>
    </comment>
    <comment ref="M25" authorId="0" shapeId="0" xr:uid="{294CE0E2-5E55-4C79-8EC2-C7C988B37C64}">
      <text>
        <r>
          <rPr>
            <b/>
            <sz val="9"/>
            <color indexed="81"/>
            <rFont val="Tahoma"/>
            <family val="2"/>
          </rPr>
          <t>User Note:</t>
        </r>
        <r>
          <rPr>
            <sz val="9"/>
            <color indexed="81"/>
            <rFont val="Tahoma"/>
            <family val="2"/>
          </rPr>
          <t xml:space="preserve">
The methodology assumes the insulation area is flat (attic blown insulation), not rigid insulation against the sloped roof.</t>
        </r>
      </text>
    </comment>
    <comment ref="A28" authorId="0" shapeId="0" xr:uid="{BB5CB54E-6821-4B2E-9869-5EF489479B36}">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A29" authorId="0" shapeId="0" xr:uid="{E73F0B92-1ABF-4F79-9239-2F946488DEF8}">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A30" authorId="0" shapeId="0" xr:uid="{8C8F95D6-07A5-4740-BCD0-6755499CEA5A}">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 ref="A31" authorId="0" shapeId="0" xr:uid="{8538B14E-D767-4654-99FE-5EF42F56F528}">
      <text>
        <r>
          <rPr>
            <b/>
            <sz val="9"/>
            <color indexed="81"/>
            <rFont val="Tahoma"/>
            <family val="2"/>
          </rPr>
          <t xml:space="preserve">User Note:
</t>
        </r>
        <r>
          <rPr>
            <sz val="9"/>
            <color indexed="81"/>
            <rFont val="Tahoma"/>
            <family val="2"/>
          </rPr>
          <t>This row is not used in this tab - no formulas are included in this row</t>
        </r>
        <r>
          <rPr>
            <b/>
            <sz val="9"/>
            <color indexed="81"/>
            <rFont val="Tahoma"/>
            <family val="2"/>
          </rPr>
          <t xml:space="preserve">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<sst xmlns="http://schemas.openxmlformats.org/spreadsheetml/2006/main" count="1390" uniqueCount="498">
  <si>
    <t>Toronto 2030 District</t>
  </si>
  <si>
    <t>Revision Date</t>
  </si>
  <si>
    <t>Pathways Project</t>
  </si>
  <si>
    <t>Changing Inputs</t>
  </si>
  <si>
    <t>Users who change spreadsheet inputs should have appropriate subject matter expertise and apply edits based on appropriate data that is applicable to the context.
Default inputs and assumptions in this spreadsheet were informed by subject matter expert input relevant to Toronto's 2030 District. User-specific situations may not be addressed by default inputs alone.</t>
  </si>
  <si>
    <t>Method</t>
  </si>
  <si>
    <t>Colour</t>
  </si>
  <si>
    <t>General Tabs</t>
  </si>
  <si>
    <t>Colour Legend for Cells</t>
  </si>
  <si>
    <t>Conversions</t>
  </si>
  <si>
    <t>Conversion Factors</t>
  </si>
  <si>
    <t>m² to ft²</t>
  </si>
  <si>
    <t>kW(th) to MBH</t>
  </si>
  <si>
    <t>MBH to Tons</t>
  </si>
  <si>
    <t>Global Inputs</t>
  </si>
  <si>
    <t>Units</t>
  </si>
  <si>
    <t>Multiplier</t>
  </si>
  <si>
    <t>Input notes</t>
  </si>
  <si>
    <t>% of capital expenses</t>
  </si>
  <si>
    <t>Tax</t>
  </si>
  <si>
    <t>Total Multiplier</t>
  </si>
  <si>
    <t xml:space="preserve">Amortization Rate Input </t>
  </si>
  <si>
    <t>Interest Rate</t>
  </si>
  <si>
    <t>Amortization</t>
  </si>
  <si>
    <t>Period (yrs)</t>
  </si>
  <si>
    <t>Payment (% of capital)</t>
  </si>
  <si>
    <t>Hydrogen Conversion Retrofit</t>
  </si>
  <si>
    <t>Cost is ~15% ~50yr infrastructure (eg pipes), ~85% 10yr equipment (Hydrogen not yet commercially long-term proven). Amortization recovery capped at 30 yrs.</t>
  </si>
  <si>
    <t>Electric Resistance Retrofit</t>
  </si>
  <si>
    <t>Cost is ~25% ~50yr infrastructure (eg wires), ~25% 30yr infrastructure (eg transformers), ~50% 20yr equipment. Amortization recovery capped at 30 yrs.</t>
  </si>
  <si>
    <t>ASHP Retrofit</t>
  </si>
  <si>
    <t>Cost is ~50% ~50yr infrastructure (eg pipes), ~50% 20yr equipment (eg heat pumps). Amortization recovery capped at 30 yrs.</t>
  </si>
  <si>
    <t>ASHP w RNG Retrofit</t>
  </si>
  <si>
    <t>GSHP Retrofit</t>
  </si>
  <si>
    <t>Cost is ~80% ~50yr infrastructure (eg geoexchange field), ~20% 20yr equipment (eg heat pumps). Amortization recovery capped at 30 yrs.</t>
  </si>
  <si>
    <t>Carbon Price</t>
  </si>
  <si>
    <t>$/ton</t>
  </si>
  <si>
    <t>Average</t>
  </si>
  <si>
    <t>Averaged over a 30 year period of financial analysis</t>
  </si>
  <si>
    <t>Occupancy &amp; Sub-Categories</t>
  </si>
  <si>
    <t>BUILDING TYPOLOGIES</t>
  </si>
  <si>
    <t xml:space="preserve">BASELINE ENERGY CONSUMPTION </t>
  </si>
  <si>
    <t>SYSTEM SIZING</t>
  </si>
  <si>
    <t>Zone Area</t>
  </si>
  <si>
    <t>Floor Height</t>
  </si>
  <si>
    <t># Floors Subgrade</t>
  </si>
  <si>
    <t>Exterior Party Walls</t>
  </si>
  <si>
    <t>Exterior Perimeter</t>
  </si>
  <si>
    <t>Envelope Area</t>
  </si>
  <si>
    <t>Wall Area</t>
  </si>
  <si>
    <t>Wall SubGrade</t>
  </si>
  <si>
    <t>Roof Area</t>
  </si>
  <si>
    <t xml:space="preserve">Slab Area on Grade </t>
  </si>
  <si>
    <t>%</t>
  </si>
  <si>
    <t>m²</t>
  </si>
  <si>
    <t>ft²</t>
  </si>
  <si>
    <t>N/A</t>
  </si>
  <si>
    <t>m</t>
  </si>
  <si>
    <t>% Window</t>
  </si>
  <si>
    <t>ekWh/m²</t>
  </si>
  <si>
    <t>eGWh</t>
  </si>
  <si>
    <t>GJ</t>
  </si>
  <si>
    <t>(W(th)/ft²)</t>
  </si>
  <si>
    <t>kW(th)</t>
  </si>
  <si>
    <t>MBH</t>
  </si>
  <si>
    <t>Tons</t>
  </si>
  <si>
    <t>OFFICE</t>
  </si>
  <si>
    <t>Gas</t>
  </si>
  <si>
    <t>District</t>
  </si>
  <si>
    <t>Electric</t>
  </si>
  <si>
    <t>RETAIL &amp; HOSPITALITY</t>
  </si>
  <si>
    <t>MULTI-UNIT RESIDENTIAL</t>
  </si>
  <si>
    <t>RESIDENTIAL</t>
  </si>
  <si>
    <t>INSTITUTIONAL</t>
  </si>
  <si>
    <t>TOTAL</t>
  </si>
  <si>
    <t>HYDROGEN CONVERSION RETROFIT</t>
  </si>
  <si>
    <t>ELECTRIC RESISTANCE RETROFIT</t>
  </si>
  <si>
    <t>ASHP RETROFIT</t>
  </si>
  <si>
    <t>ASHP w RNG BACKUP</t>
  </si>
  <si>
    <t>GSHP RETROFIT</t>
  </si>
  <si>
    <t>Typology - Archetype Mechanical System Description</t>
  </si>
  <si>
    <t>Hot Water Level (s, m ,l)</t>
  </si>
  <si>
    <t>Ventilation Level (s, m ,l)</t>
  </si>
  <si>
    <t>Stationary Engineer likely needed for heat pump?</t>
  </si>
  <si>
    <t>Mechanical System End-of-Life Renewal Description</t>
  </si>
  <si>
    <t>Electrical System Description</t>
  </si>
  <si>
    <t>Mechanical System Conversion Description</t>
  </si>
  <si>
    <t>rooftop gas boiler system | 8,000MBH estimated boiler plant size | (160F-180F)| 800MBH Water heating</t>
  </si>
  <si>
    <t>low</t>
  </si>
  <si>
    <t>medium</t>
  </si>
  <si>
    <t>Yes</t>
  </si>
  <si>
    <t>Assume boilers  and water heating systems are replaced.</t>
  </si>
  <si>
    <t>no significant electrical change</t>
  </si>
  <si>
    <t>Replace gas boiler with electric resistance boiler, and electric DWH.</t>
  </si>
  <si>
    <t>new HV transformer - 2.5mVA, New HV Switch, New 600V Switchboard - 3000A, New Feeder breakers - 4@600A, New 600V Feeders @$150/ft, assume 100ft/feeder, Misc (HV feeder, controls, etc), Design contingency 20%</t>
  </si>
  <si>
    <t>replace gas boiler with ashp, 3-4 large air-source, rooftop units required,(each 165 ton-223 tons).  Add 150 ton polishing water to water heat pump to increase supply temperature to 160F; retrofit system to provide cascade heating loop to permit lower temperature return water.  Remove existing cooling tower and chillers.  Add  CO2 based domestic water heating heat pumps; increase storage tank size to reduce required heat pump size.</t>
  </si>
  <si>
    <t>Upgrade electrical service: additional 400A capacity required, assume capacity is within existing TX capacity (~2MVA) Electrical work required for switch over (labour), Changes to breakers, Feeder rework, Design Contingency 20%</t>
  </si>
  <si>
    <t>Augment gas boiler backup plant with 2 large air-source, rooftop units (each 165 ton-223 tons).  Add 75 ton polishing water to water heat pump to increase supply temperature to 160F, with RNG backup; retrofit system to provide cascade heating loop to permit lower temperature return water.  Remove existing cooling tower and chillers. Use elec point-of-use domestic water heating with load-shifting control to minimize peak contribution; increase storage tank size to reduce required heat pump size.</t>
  </si>
  <si>
    <t>replace gas boiler with GSHP, 3-4 large reversible chillers required (each 165 ton-223 tons).  Add 150 ton polishing water to water heat pump to increase supply temperature to 160F; retrofit system to provide cascade heating loop to permit lower temperature return water.  Remove existing cooling tower and chillers.  Add geothermal sourced domestic hot water systems; increase storage tank size to reduce required heat pump size.</t>
  </si>
  <si>
    <t>Electrical work required for switch over (labour), Changes to breakers, Feeder rework, Design Contingency 20%</t>
  </si>
  <si>
    <t>hydronic hot water loop (160-180F design temp)| 8,000MBH estimated heat exchanger from DES | (160F-180F) | 800MBH Water heating also from DES</t>
  </si>
  <si>
    <t>Assume heat exchangers (8000MBH) and water heating heat exchange systems (800MBH) are replaced.</t>
  </si>
  <si>
    <t>Replace DES with electric resistance boiler, and electric DWH.</t>
  </si>
  <si>
    <t>replace DES with ashp plant , 3-4 large air-source, rooftop units required,(each 165 ton-223 tons).  Add 150 ton polishing water to water heat pump to increase supply temperature to 160F; retrofit system to provide cascade heating loop to permit lower temperature return water.  Assume that DES buildings do not require removal of chiller and cooling tower.     Add  CO2 based domestic water heating heat pumps; increase storage tank size to reduce required heat pump size.</t>
  </si>
  <si>
    <t>Upgrade electrical service: additional 400A capacity required, assume capacity is within existing TX capacity (2MVA) Electrical work required for switch over (labour), Changes to breakers, Feeder rework, Design Contingency 20%</t>
  </si>
  <si>
    <t>Augment gas boiler backup plant with 2 large air-source, rooftop units (each 165 ton-223 tons).  Add 75 ton polishing water to water heat pump to increase supply temperature to 160F, with RNG backup; retrofit system to provide cascade heating loop to permit lower temperature return water.  Remove existing cooling tower and chillers.  Add  CO2 based domestic water heating heat pumps; increase storage tank size to reduce required heat pump size.</t>
  </si>
  <si>
    <t>replace DES with GSHP, 3-4 large reversible chillers required (each 165 ton-223 tons).  Add 150 ton polishing water to water heat pump to increase supply temperature to 160F; retrofit system to provide cascade heating loop to permit lower temperature return water.  Remove existing cooling tower and chillers.  Add geothermal sourced domestic hot water systems; increase storage tank size to reduce required heat pump size.</t>
  </si>
  <si>
    <t>Baseboard electric / 2,750 MBH fresh air MAUs (~30000CFM).  Electric hot water heating.</t>
  </si>
  <si>
    <t>Assume make-up air unit is replaced; baseboard heaters are not replaced.</t>
  </si>
  <si>
    <t>Replace MAU with electric resistance MAUs (800KW total electric heating.)</t>
  </si>
  <si>
    <t>Assume capacity is within existing TX capacity.  Electrical work required for switch over (labour), Changes to breakers, Feeder rework, Design Contingency 20%</t>
  </si>
  <si>
    <t>Replace MAUs with air-source cold climate heat pump sytle AHUs (80 tons total.)    Add  CO2 based domestic water heating heat pumps; increase storage tank size to reduce required heat pump size.</t>
  </si>
  <si>
    <t>Electrical work required for switch over (labour), Changes to breakers, Feeder rework, Design Contingency 20%. Assume that heating load (kw) is higher than ASHP load (heating and cooling). Assume 2.6mw of existing electric heating.</t>
  </si>
  <si>
    <t>Replace MAUs with geo-source WSHP AHUs (80 tons total.) Add geothermal sourced domestic hot water systems; increase storage tank size to reduce required heat pump size.</t>
  </si>
  <si>
    <t>Packaged gas-fired rooftop units; boiler-fed perimeter heating and rooftop gas burner with dx | 1400 MBH total connected gas load, assume 6 x 15 ton RTUs +500MBH boiler</t>
  </si>
  <si>
    <t>Assume Packaged gas-fired rooftop units are replaced; boiler-fed perimeter heating and rooftop gas burner with dx | 1700 MBH total connected gas load, assume 6 x 15 ton RTUs +500MBH boiler</t>
  </si>
  <si>
    <t>Install electric packaged RTUs, complete with  six 65KW electric resistance heaters, and 146KW electric boiler, and new 30KW electric water heater (or more likely, 6x5KW water heaters, 1 / floor.)</t>
  </si>
  <si>
    <t xml:space="preserve">assuming all electric with electric coil for ventilation air | Six 65KW electric resistance heaters, adding duct heater load = 390kw additional load - cooling load (90tons=315kw) = 75kw additional load on service, replace main transformer (400kva to 500kva), replace main switchboard to 800A, feeder work, changes for breakers, design contingency
</t>
  </si>
  <si>
    <t>Install new VRF heating system, with one new VRF heated, 3600CFM  MUA (15 tons.) .Add VRF-coupled domestic hot water at each washroom, or use CO2 based high temperature system.</t>
  </si>
  <si>
    <t>Assume service size is 400A, ASHP adds an additional 80-100kw of connected load. Service upgrade: new TX (500KVA), new main panel (600Amps).</t>
  </si>
  <si>
    <t>Install new asir source heat pump RTUS, with one new VRF heated, 3600CFM  MUA (15 tons.) Use electric resistance DWH</t>
  </si>
  <si>
    <t>Install new water-to-air heat pumps C/W, 3600CFM MUA (15 tons). Add geo-sourced DWH to serve washrooms.</t>
  </si>
  <si>
    <t>replace RTU heating with rooftop glycol-to-air geothermal heat pumps, with new geothermal wells, cooling load = heating load, no change to electrical capacity, Electrical work required for switch over (labour), changes to breakers, feeder work, deisgn contigency</t>
  </si>
  <si>
    <t>Baseboard electric / 600 MBH (3600CFM) rooftop gas-fired fresh air MAU (natural gas). Electric hot water heating.</t>
  </si>
  <si>
    <t>Install new electric MAU (175 KW heating required) and new 30KW electric water heater (or more likely, 6x5KW water heaters, 1 / floor.)</t>
  </si>
  <si>
    <t>Install new VRF heated, 3600CFM  MUA (15 tons) .Add  CO2 based domestic water heating heat pumps; increase storage tank size to reduce required heat pump size.</t>
  </si>
  <si>
    <t>Electrical work required for switch over (labour), Changes to breakers, Feeder rework, Design Contingency 20%. Assume that heating load (kw) is higher than ASHP load (heating and cooling). Assume 400KW of existing electric heating.</t>
  </si>
  <si>
    <t>Install new geo WSHP serviced 3600CFM  MUA (15 tons).  Add geo-sourced DWH to serve washrooms.</t>
  </si>
  <si>
    <t>Gas make-up air heating providing dining area conditioning, with a 12' kitchen exhaust hood (3600CFM, 275MBH) and second gas-fired heating unit (150MBH) | 425 MBH total connected gas load, excluding cooking equipment</t>
  </si>
  <si>
    <t>high</t>
  </si>
  <si>
    <t>Assume gas make-up air heating providing dining area conditioning and second gas-fired heating unit (150MBH) are replaced, as well as the water heatin system.</t>
  </si>
  <si>
    <t>Assume gas make-up air heating providing dining area conditioning (80KW) and second gas-fired heating unit (44KW) are replaced with electric units, as well as the water heating system.</t>
  </si>
  <si>
    <t xml:space="preserve">Replace incoming service from 400A to 800A
</t>
  </si>
  <si>
    <t>Assume VRF make-up air heating provides dining area conditioning (23 ton) and second gas-fired heating unit (12) are replaced with low-temperature compatible ASHP rooftop units.  Add CO2 based water heating system (7 tons.)</t>
  </si>
  <si>
    <t>Assume MAU and RTU are replaced by geo WSHP make-up air heating provides dining area conditioning (23 ton) and second WSHP (12 tons) Add geo-sourced DWH to serve washrooms.</t>
  </si>
  <si>
    <t>2 or 4 pipe hot water terminal units w/ 12,000 cfm gas-fired rooftop makeup air unit, 7500MBh total plant size with backup,  central gas-fired hot water (85% ef, 5000MBH total installed, with backup.)</t>
  </si>
  <si>
    <t>Assume boilers (2190KW)  and water heating systems (1470KW) are replaced with electric systems.</t>
  </si>
  <si>
    <t>Complete system replacement with air source VRF system (650 tons).  New VRF MAU (100 tons.)   Add CO2 based water heating system (209 tons.)</t>
  </si>
  <si>
    <t>Assume no additional electrical load (cooling higher than new heating. Electrical work required for switch over (labour), Changes to breakers, Feeder rework, Design Contingency 20%</t>
  </si>
  <si>
    <t>Complete system replacement with air source VRF system (650 tons).  New VRF MAU (100 tons.)   Add CO2 based water heating system (209 tons) since geo will not balance for this occupancy type with DWH included.</t>
  </si>
  <si>
    <t>Through-the-wall PTAC, 70% ASHP (standard type), 30% electric resistance.  All operate as electric resistance on a design day. 600MBH (5000CFM) corridor pressurization MAU, 5000MBH DWH plant.</t>
  </si>
  <si>
    <t>Through-the-wall PTAC, 70% ASHP (standard type), 30% electric resistance.  All operate as electric resistance on a design day (170 rooms).  MAU replaced with like.</t>
  </si>
  <si>
    <t>Through-the-wall PTAC, 70% ASHP (standard type), 30% electric resistance.  All operate as electric resistance on a design day (170 rooms)</t>
  </si>
  <si>
    <t>Through-the-wall PTAC, 70% ASHP (standard type), 30% electric resistance.  All operate as electric resistance on a design day (170 rooms).  MAU replaced with electric resistance type (175KW heating)</t>
  </si>
  <si>
    <t>New VRF MAU (100 tons.)   Add CO2 based water heating system (209 tons.)</t>
  </si>
  <si>
    <t xml:space="preserve">Electrical work required for switch over (labour), Changes to breakers, Feeder rework, Design Contingency 20%. Assume that heating load (kw) is higher than ASHP load (heating and cooling). </t>
  </si>
  <si>
    <t>New VRF MAU (100 tons.)   Add CO2 based water heating system (209 tons.) Add CO2 based water heating system (209 tons) since geo will not balance for this occupancy type with DWH included.</t>
  </si>
  <si>
    <t>Packaged gas rooftop units, one 5-ton unit (150MBH)</t>
  </si>
  <si>
    <t>Replace one 5-ton rooftop unit with electric type (45KW heating.)</t>
  </si>
  <si>
    <t>Complete system replacement with air source VRF system (5 tons) and ERV for ventilation with 2KW electric preheat.  Electric resistance water heating existing to remain.</t>
  </si>
  <si>
    <t>6,000MBH boiler plant serving perimeter heating and fresh air (typically, retail unit terminal systems are heating only.) | 160-180F</t>
  </si>
  <si>
    <t>Replace 6,000MBH boiler plant.</t>
  </si>
  <si>
    <t>4,000MBH boiler plant serving perimeter heating and fresh air (typically, retail unit terminal systems are heating only.) | 160-180F</t>
  </si>
  <si>
    <t>Replace 6,000MBH boiler plant with 1756KW electric boilers, plus, 150KW domestic potable water heaters.</t>
  </si>
  <si>
    <t>Augment gas boiler backup plant with 2 large air-source, rooftop units (each 165 ton-223 tons).  Add 150 ton polishing water to water heat pump to increase supply temperature to 160F; retrofit system to provide cascade heating loop to permit lower temperature return water.  Remove existing cooling tower and chillers.  Add  CO2 based domestic water heating heat pumps; increase storage tank size to reduce required heat pump size.</t>
  </si>
  <si>
    <t>Assume gas boilers and hot water heating boilers are replaced.</t>
  </si>
  <si>
    <t>Assume gas boilers, hot water heating boilers and MAU are replaced.</t>
  </si>
  <si>
    <t>Assume gas boilers (2170KW capacity), hot water heating boilers (1470KW capacity) are replaced.</t>
  </si>
  <si>
    <t>Complete system replacement with air source VRF system (610 tons).  New VRF MAU (100 tons.)   Add CO2 based water heating system (209 tons.)</t>
  </si>
  <si>
    <t>Electrically, assume new 600 ton retrofit GSHP has been provided. Detailed assumptions for heat pump / 2-pipe /4pipe are below the main table. Add CO2 based water heating system (209 tons) since geo will not balance for this occupancy type with DWH included.</t>
  </si>
  <si>
    <t>Electric Resistance baseboards w/ gas-fired rooftop makeup air unit;  central gas-fired hot water (85% ef). MAU assumed to be 12,000CFM and gas-fired.</t>
  </si>
  <si>
    <t>Assume make-up air unit is replaced; baseboard heaters / electrical heating system is not replaced.  DHW gas heaters replaced.</t>
  </si>
  <si>
    <t xml:space="preserve">Assume make-up air unit is replaced; baseboard heaters / electrical heating system is not replaced.  </t>
  </si>
  <si>
    <t xml:space="preserve"> MAU replaced with electric resistance type (175KW heating), hot water heating boilers (1470KW capacity) are replaced.</t>
  </si>
  <si>
    <t>2 or 4 pipe hot water terminal units w/ 12,000 cfm gas-fired rooftop makeup air unit, 7500MBh total plant size, 92% eff with backup,  central gas-fired hot water (92% ef, 5000MBH total installed, with backup.)</t>
  </si>
  <si>
    <t>2 or 4 pipe fancoil or in-suite heat pumps, gas fired boiler central plant, gas-fired rooftop makeup air unit; central gas-fired hot water (90%ef)</t>
  </si>
  <si>
    <t>Assume gas boilers (2180KW capacity), hot water heating boilers (1490KW capacity) are replaced.</t>
  </si>
  <si>
    <t>Complete system replacement with air source VRF system (620 tons).  New VRF MAU (100 tons.)   Add CO2 based water heating system (212 tons.)</t>
  </si>
  <si>
    <t>Forced-air gas-fired furnace, 85% eff, 80MBH.   Gas-fired DWH, also 80MBH. About 70% have central A/C.</t>
  </si>
  <si>
    <t>Forced-air gas-fired furnace, 85% eff.  About 70% have central A/C</t>
  </si>
  <si>
    <r>
      <t xml:space="preserve">Replace home heating with with 20KW electric furnace.  Replace water heater with electric heater with higher storage capacity ( 9KW).  </t>
    </r>
    <r>
      <rPr>
        <strike/>
        <sz val="11"/>
        <color theme="1"/>
        <rFont val="Franklin Gothic Book"/>
        <family val="2"/>
        <scheme val="minor"/>
      </rPr>
      <t>Upgrade service to 200A.</t>
    </r>
  </si>
  <si>
    <t>Upgrage service to 400A</t>
  </si>
  <si>
    <t>New 5-ton cold-climate heat pump based furnace.   Add CO2 based domestic hot water system.</t>
  </si>
  <si>
    <t>Assume capacity is within existing Service capacity.  Electrical work required for switch over (labour), Changes to breakers, Feeder rework, Design Contingency 20%</t>
  </si>
  <si>
    <t>5 Steam Boilers (19600 kw)</t>
  </si>
  <si>
    <t>Replace boilers with electric boilers</t>
  </si>
  <si>
    <t>New HV switchgear sections. Potential new serice requried by Hydro</t>
  </si>
  <si>
    <t>2 Steam Boilers and 2 Glycol Boilers (19169 kw)</t>
  </si>
  <si>
    <t>Other Equipment</t>
  </si>
  <si>
    <t>Electrical Capital Cost</t>
  </si>
  <si>
    <t>Material and Labour Subtotal</t>
  </si>
  <si>
    <t>Total (Including M&amp;L, Tax, PM, GC, …)</t>
  </si>
  <si>
    <t xml:space="preserve">Archetype DWH Heating Plant Size </t>
  </si>
  <si>
    <t>Geothermal Field</t>
  </si>
  <si>
    <t>$</t>
  </si>
  <si>
    <t>Annual Utility Cost</t>
  </si>
  <si>
    <t>$/ft²</t>
  </si>
  <si>
    <t>Amortized Capital Costs</t>
  </si>
  <si>
    <t>Total Cost</t>
  </si>
  <si>
    <t xml:space="preserve">Incremental Cost </t>
  </si>
  <si>
    <t>$/yr</t>
  </si>
  <si>
    <t>$/yr/ft²</t>
  </si>
  <si>
    <t>Wall Description</t>
  </si>
  <si>
    <t>Window Description</t>
  </si>
  <si>
    <t>Roof Description</t>
  </si>
  <si>
    <t>Replacement Wall Description</t>
  </si>
  <si>
    <t>Replacement Window Description</t>
  </si>
  <si>
    <t>Replacement Roof Description</t>
  </si>
  <si>
    <t>ERV Description</t>
  </si>
  <si>
    <t>Upgrade and Replacement Recommendations</t>
  </si>
  <si>
    <t>n/a</t>
  </si>
  <si>
    <t>20+ year old curtain wall (R2)</t>
  </si>
  <si>
    <t>concrete, 2" eps (R3.5/"), waterproof membrane, gravel</t>
  </si>
  <si>
    <t>replace double pane, sealed unit, low-e  coating, not argon filled, not thermally broken</t>
  </si>
  <si>
    <t>replace 2" eps (R3.5/"), waterproof membrane, gravel</t>
  </si>
  <si>
    <t>Kawneer 2500UT or Flynn 9450 (Double Glazed, Thermally Broken Curtain Wall)</t>
  </si>
  <si>
    <t>8" poly-iso, (R3.5 outer 2", and 5.6 for the rest)new membrane</t>
  </si>
  <si>
    <t>Provide new, 85% efficient Energy Recovery Ventilator(s) exhausting all washrooms and common exhaust, and providing all OA for the building.  Assume 1 main MUA.  Assume 1x 29000 MUA and 2x 14,500CFM exhaust fans demolished to make room.</t>
  </si>
  <si>
    <t xml:space="preserve">UPGRADE or REPLACE building automation system to include:
-  peak-shaving/demand response capability
- weather forecast integrated to pre-heat building when cold weather is arriving.
- control of 4 air source heat pump chiillers
- control of 8 heating and cooling pumps
- Control of main air handler
- central monitoring of zone temperatures (per 5000ft2) 
- ADD modulating zoning valves, assume 2" line size. (assume 1 / 10,000ft2)
</t>
  </si>
  <si>
    <t>UPGRADE or REPLACE building automation system to include:
-  peak-shaving/demand response capability
- weather forecast integrated to pre-heat building when cold weather is arriving.
- control of 4 split DX 
- Control of 4 main air handlers and associated electric heating coils.
- central monitoring of zone temperatures (per 5000ft2) 
- ADD modulating zoning valves, assume 2" line size. (assume 1 / 10,000ft2)</t>
  </si>
  <si>
    <t>punch windows (find ratio), fibreglass batt insulated steel stud supporting 4" brick, plywood, waterproofing, brick ledge</t>
  </si>
  <si>
    <t>double pane window, aluminum frame, no coatings</t>
  </si>
  <si>
    <t>concrete, 2" eps, waterproof membrane, gravel</t>
  </si>
  <si>
    <t>replace steel studs, put on 1/2" ply, thermal clips, 4" roxul, framed cladding system</t>
  </si>
  <si>
    <t xml:space="preserve">Triple glazed, double low-E, argon filled, metal frames, thermally broken </t>
  </si>
  <si>
    <t>Provide 6 new, 70% efficient bolt-on Energy Recovery Ventilators at each RTU.  Re-duct washroom exhaust to nearest RTU.</t>
  </si>
  <si>
    <t xml:space="preserve">UPGRADE or REPLACE building automation system to include:
-  peak-shaving/demand response capability
- weather forecast integrated to pre-heat building when cold weather is arriving.
- control of 6 x 15 ton rooftop units
- central monitoring of zone temperatures (1 per 2500ft2) </t>
  </si>
  <si>
    <t> 4” EIFS, add trowel on vapour barrier, EXPS, 2 coats acrylic stucco. . 4-6” metal composite panels, cw/ thermally broken clips. (Kingspan, non-combustible) </t>
  </si>
  <si>
    <t>Provide 6 new, 70% efficient bolt-on Energy Recovery Ventilators at each RTU.  Re-duct washroom exhaust to nearest RTU (assume 100' x 2'x3' ductwork)</t>
  </si>
  <si>
    <t>8" CMU Wall</t>
  </si>
  <si>
    <t>Single plane storefront window</t>
  </si>
  <si>
    <t>Add 4" EIFS to Concrete Block Wall</t>
  </si>
  <si>
    <t>Double pane, thermally broken frame. E.g. (https://www.kawneer.com/kawneer/north_america/catalog/product_flyers/17-2287_TF601_601T_601UT.pdf)</t>
  </si>
  <si>
    <t>Provide new, 85% efficient Energy Recovery Ventilator(s) for washroom exhaust only.</t>
  </si>
  <si>
    <t xml:space="preserve">UPGRADE or REPLACE building automation system to include:
-  peak-shaving/demand response capability
- weather forecast integrated to pre-heat building when cold weather is arriving.
- control of one rooftop unit, 
- monitoring of kitchen MUA, and exhaust system.
- central monitoring of zone temperatures (per 2500ft2) </t>
  </si>
  <si>
    <t>Pre-cast concrete panels, insulation between steel studs.</t>
  </si>
  <si>
    <t>Double-glazed aluminum frame punched windows.</t>
  </si>
  <si>
    <t>concrete deck, 2" eps (R3.5/"), waterproof membrane, gravel</t>
  </si>
  <si>
    <t>Exterior applied EIFS panels (4")</t>
  </si>
  <si>
    <t>Provide one new 100cfrm ERV for each hotel room (170 suites).  Assume 82% efficient ERV, BOD FV-10VEC1</t>
  </si>
  <si>
    <t xml:space="preserve">UPGRADE or REPLACE building automation system to include:
-  peak-shaving/demand response capability
- weather forecast integrated to pre-heat building when cold weather is arriving.
- control of  chiller and coolign tower
- control of 4-boiler heating plant.
- control of 8 heating and cooling pumps
- Control of 2 corridor pressurization units 
- central monitoring and control of common area zone temperatures (30)
- central monitoring and control of suite terminal units (smart networked thermostats.) (170)
- ADD modulating zoning valves, assume 2" line size. (assume 1 / 10,000ft2)
</t>
  </si>
  <si>
    <t>Provide one new 100cfrm ERV for each hotel room (170 suites).  Assume 82% efficient ERV, MICRA 200 or equal (vents.ua)</t>
  </si>
  <si>
    <t>UPGRADE or REPLACE building automation system to include:
-  peak-shaving/demand response capability
- weather forecast integrated to pre-heat building when cold weather is arriving.
- Control of 2 corridor pressurization units 
- central monitoring and control of common area zone temperatures (30)
- central monitoring and control of suite terminal units (smart networked thermostats.) (170)</t>
  </si>
  <si>
    <t>8” CMU</t>
  </si>
  <si>
    <t>Single pane storefront window</t>
  </si>
  <si>
    <t>Externally applied 4" EIFS</t>
  </si>
  <si>
    <t>Provide 1 new, 82% efficient bolt-on Energy Recovery Ventilator at the RTU.  Re-duct washroom exhaust back to RTU (allow for running over dropped ceiling ~60'.)</t>
  </si>
  <si>
    <t xml:space="preserve">UPGRADE or REPLACE building automation system to include:
-  peak-shaving/demand response capability
- weather forecast integrated to pre-heat building when cold weather is arriving.
- control of one 15 ton rooftop unit
- central monitoring of zone temperatures (1 per 2500ft2) </t>
  </si>
  <si>
    <t>-</t>
  </si>
  <si>
    <t>TBD - appropriate, but we should ask mall owners to comment on cost &amp; prototype.  Not possible to predict on a generalized basis.</t>
  </si>
  <si>
    <t>UPGRADE or REPLACE building automation system to include: 
- peak-shaving/demand response capability 
- weather forecast integrated to pre-heat building when cold weather is arriving. 
- control of 4 air source heat pump chiillers 
- control of 8 heating and cooling pumps 
- Control of main air handler 
- central monitoring of zone temperatures (per 4000ft2) 
- ADD modulating zoning valves, assume 2" line size. (assume 1 / 10,000ft2)</t>
  </si>
  <si>
    <t>4” brick, 25mm air space, 3-5/8” LWSS w/ fibreglass insulation, VB, 5/8” drywall </t>
  </si>
  <si>
    <t>replace 3-5/8” LWSS w/ fibreglass insulation, VB, 5/8” drywall </t>
  </si>
  <si>
    <t>replace Double-glazed aluminum frame punched windows, not thermally broken</t>
  </si>
  <si>
    <t>Provide one new 100cfrm ERV for each suite (237 suites).  Assume 82% efficient ERV, BOD FV-10VEC1</t>
  </si>
  <si>
    <t xml:space="preserve">UPGRADE or REPLACE building automation system to include:
-  peak-shaving/demand response capability
- weather forecast integrated to pre-heat building when cold weather is arriving.
- control of 4 air source heat pump chiillers
- control of 8 heating and cooling pumps
- Control of main air handler
- central monitoring and control of common area zone temperatures (10)
- central monitoring and control of suite terminal units (smart networked thermostats.) (237 count)
- ADD modulating zoning valves, assume 2" line size. (assume 1 / 10,000ft2)
</t>
  </si>
  <si>
    <t>Provide one new 100cfrm ERV for each suite (237 suites).  Assume 82% efficient ERV, BOD Panasonic FV-10VEC1</t>
  </si>
  <si>
    <t>UPGRADE or REPLACE building automation system to include:
-  peak-shaving/demand response capability
- weather forecast integrated to pre-heat building when cold weather is arriving.
- Control of 2 corridor pressurization units 
- central monitoring and control of common area zone temperatures (30)
- central monitoring and control of suite terminal units (smart networked thermostats.) (237 count))</t>
  </si>
  <si>
    <t>Double-glazed aluminum frame, window wall</t>
  </si>
  <si>
    <t>Spandrel Panel</t>
  </si>
  <si>
    <t>replace with thermally broken, highly insulated spandrel panel: e.g. https://lenmak.com/spandreltherm/</t>
  </si>
  <si>
    <t>Double glazed w/ mylar unit.</t>
  </si>
  <si>
    <t>Provide one new 100cfrm ERV for each suite (307 suites).  Assume 82% efficient ERV, BOD Panasonic FV-10VEC1</t>
  </si>
  <si>
    <t>UPGRADE or REPLACE building automation system to include:
-  peak-shaving/demand response capability
- weather forecast integrated to pre-heat building when cold weather is arriving.
- control of 4 air source heat pump chiillers
- control of 8 heating and cooling pumps
- Control of main air handler
- central monitoring and control of common area zone temperatures (10)
- central monitoring and control of suite terminal units (smart networked thermostats.) (307 count)
- ADD modulating zoning valves, assume 2" line size. (assume 1 / 10,000ft2)</t>
  </si>
  <si>
    <t>8” brick, 1.5” wood lathe, horsehair plaster </t>
  </si>
  <si>
    <t>gypsum, rafters, 6" rigid ins. roof deck, plywood, vapor barrier, shingles.</t>
  </si>
  <si>
    <t>add 2” eps, drywall</t>
  </si>
  <si>
    <t>fill rafters with 18" insulation</t>
  </si>
  <si>
    <t>Wood frame double pane, low e, argon </t>
  </si>
  <si>
    <t>5” Roxul, thermal clips, wood furring, metal panels</t>
  </si>
  <si>
    <t>double-glazed vinyl window, low e argon.</t>
  </si>
  <si>
    <t>Insulated fibreglass, triple pane. </t>
  </si>
  <si>
    <t>Provide new 78% efficient  Energy Recovery Ventilator for furnace. ( Basis of Design: 	RenewAireEV200)</t>
  </si>
  <si>
    <t>This product is not currently available for the residential market, but I would expect the funcitonality required can be included in a smart thermostat (nest equal) at no additional cost over current market rate.  Recommend also including a budget for a similar wireless IOT controller for the domestic water heater.</t>
  </si>
  <si>
    <t>Wall RSI</t>
  </si>
  <si>
    <t>Wall Heat Loss</t>
  </si>
  <si>
    <t>Wall Peak Heat Loss</t>
  </si>
  <si>
    <t>Window RSI</t>
  </si>
  <si>
    <t>Window Heat Loss</t>
  </si>
  <si>
    <t>Window Peak Heat Loss</t>
  </si>
  <si>
    <t>Roof RSI</t>
  </si>
  <si>
    <t>Roof Heat Loss</t>
  </si>
  <si>
    <t>Roof Peak Heat Loss</t>
  </si>
  <si>
    <t>Baseline Annual Heat Loss</t>
  </si>
  <si>
    <r>
      <t>m</t>
    </r>
    <r>
      <rPr>
        <b/>
        <vertAlign val="superscript"/>
        <sz val="11"/>
        <color rgb="FF040C28"/>
        <rFont val="Franklin Gothic Book"/>
        <family val="2"/>
        <scheme val="minor"/>
      </rPr>
      <t>2</t>
    </r>
    <r>
      <rPr>
        <b/>
        <sz val="11"/>
        <color rgb="FF040C28"/>
        <rFont val="Franklin Gothic Book"/>
        <family val="2"/>
        <scheme val="minor"/>
      </rPr>
      <t>·K/W</t>
    </r>
  </si>
  <si>
    <t>kW</t>
  </si>
  <si>
    <t>BAU Replacement Measures</t>
  </si>
  <si>
    <t>Wall Cost</t>
  </si>
  <si>
    <t>Wall Heat Loss Savings</t>
  </si>
  <si>
    <t>Wall Heating Peak Savings</t>
  </si>
  <si>
    <t>Wall Heating Peak Reduction</t>
  </si>
  <si>
    <t>Wall Cooling Peak Savings</t>
  </si>
  <si>
    <t xml:space="preserve">Wall Cooling Peak Reduction </t>
  </si>
  <si>
    <t>Window Cost</t>
  </si>
  <si>
    <t>Window Cooling Peak Savings</t>
  </si>
  <si>
    <t>Roof Cost</t>
  </si>
  <si>
    <t>Roof Heating Peak Savings</t>
  </si>
  <si>
    <t>Roof Cooling Peak Savings</t>
  </si>
  <si>
    <t>Available Cost-effective Max ERV Efficiency</t>
  </si>
  <si>
    <t>ERV Cost</t>
  </si>
  <si>
    <t>Estimated CFM</t>
  </si>
  <si>
    <t>% of Total Plant Size</t>
  </si>
  <si>
    <t>N/A, per suite units</t>
  </si>
  <si>
    <t>Window Area</t>
  </si>
  <si>
    <t>The Pathways Project aims to describe strategies to decarbonize districts while maintaining overall building occupancies and uses.</t>
  </si>
  <si>
    <t>User-Changeable</t>
  </si>
  <si>
    <t>Meaning</t>
  </si>
  <si>
    <t>This spreadsheet quantifies capital costs required to modify buildings to enable them to operate using net zero carbon technologies: Electric resistance, Air-source heat pumps, ground source heat pumps, hydrogen, and Deep Energy Retrofits (DER). Target audiences using conclusions of the spreadsheet include policy makers, real estate portfolio owners/managers, and advisors to these groups.</t>
  </si>
  <si>
    <t>Baseline Building Measures</t>
  </si>
  <si>
    <t xml:space="preserve">Window Heat Loss Savings </t>
  </si>
  <si>
    <t xml:space="preserve">Wall Heating Peak Savings </t>
  </si>
  <si>
    <t>Wall Cooling Peak Reduction</t>
  </si>
  <si>
    <t>Window Heating Peak Savings</t>
  </si>
  <si>
    <t>Window Heating Peak Reduction</t>
  </si>
  <si>
    <t>Window Cooling Peak Reduction</t>
  </si>
  <si>
    <r>
      <t>$/ft</t>
    </r>
    <r>
      <rPr>
        <b/>
        <vertAlign val="superscript"/>
        <sz val="11"/>
        <color theme="1"/>
        <rFont val="Franklin Gothic Book"/>
        <family val="2"/>
        <scheme val="minor"/>
      </rPr>
      <t>2</t>
    </r>
  </si>
  <si>
    <t xml:space="preserve">Roof Heat Loss Savings </t>
  </si>
  <si>
    <t>Roof Heating Peak Reduction</t>
  </si>
  <si>
    <t>Roof Cooling Peak Reduction</t>
  </si>
  <si>
    <t>Tab Grouping</t>
  </si>
  <si>
    <t>Building Form and Massing</t>
  </si>
  <si>
    <t>LIKE FOR LIKE RETROFIT (Base Case)</t>
  </si>
  <si>
    <t>ASHP % HP-fuelled</t>
  </si>
  <si>
    <t>DHW % HP-fuelled</t>
  </si>
  <si>
    <t>no info</t>
  </si>
  <si>
    <t>Avg # Conditioned Floors</t>
  </si>
  <si>
    <t>Avg Floorplate Conditioned Floor Area, GFA</t>
  </si>
  <si>
    <t>Avg Building Conditioned Gross Floor Area, GFA</t>
  </si>
  <si>
    <t>Avg # Suites/Units</t>
  </si>
  <si>
    <t>Total Building Gross Floor Area in District</t>
  </si>
  <si>
    <t>Building Floor Area Distribution (by occupancy)</t>
  </si>
  <si>
    <t>BUILDING POPULATION IN DISTRICT</t>
  </si>
  <si>
    <t>Reference EUI (all fuels)</t>
  </si>
  <si>
    <t>Predicted District Energy Use</t>
  </si>
  <si>
    <t>Calibrated Natural Gas Use</t>
  </si>
  <si>
    <t>Calibrated Energy Use</t>
  </si>
  <si>
    <t>Energy Allocation in District</t>
  </si>
  <si>
    <t>Gas Allocation in District</t>
  </si>
  <si>
    <t>Existing Plant Capacity - Space Heating</t>
  </si>
  <si>
    <t>Existing Plant Capacity - Water Heating</t>
  </si>
  <si>
    <t>Existing Plant Capacity - Space Cooling</t>
  </si>
  <si>
    <t>Replacement Plant Capacity - Space Heating</t>
  </si>
  <si>
    <t>Replacement Plant Capacity - Water Heating</t>
  </si>
  <si>
    <t>Replacement Plant Capacity - Space Cooling</t>
  </si>
  <si>
    <t>Space Heating Plant Replacement</t>
  </si>
  <si>
    <t>Water Heating Plant Replacement</t>
  </si>
  <si>
    <t>MAU Replacement</t>
  </si>
  <si>
    <t>RTU Replacement</t>
  </si>
  <si>
    <t>Space Cooling Plant Replacement</t>
  </si>
  <si>
    <t>$/MBH</t>
  </si>
  <si>
    <t>Unitary Cost - Space Heating</t>
  </si>
  <si>
    <t>Unitary Cost - Water Heating</t>
  </si>
  <si>
    <t>Unitary Cost - MAU Replacement</t>
  </si>
  <si>
    <t>Unitary Cost - RTU Replacement</t>
  </si>
  <si>
    <t>$/CFM</t>
  </si>
  <si>
    <t>$/Ton</t>
  </si>
  <si>
    <t>MAU Replacement Size</t>
  </si>
  <si>
    <t>CFM</t>
  </si>
  <si>
    <t>RTU Replacement Size</t>
  </si>
  <si>
    <t>Baseline Building Envelope</t>
  </si>
  <si>
    <t>BAU Building Envelope Replacement</t>
  </si>
  <si>
    <t>Option 1 Building Envelope Replacement</t>
  </si>
  <si>
    <t>Unitary Cost - Space Cooling</t>
  </si>
  <si>
    <t>Acheivable System Size Reduction  - Space Heating</t>
  </si>
  <si>
    <t>Acheivable System Size Reduction - Water Heating</t>
  </si>
  <si>
    <t>Acheivable System Size Reduction - Space Cooling</t>
  </si>
  <si>
    <t>General Conditions (GC)</t>
  </si>
  <si>
    <t>Contingency Costs (CC)</t>
  </si>
  <si>
    <t>Project Management (PM)</t>
  </si>
  <si>
    <t xml:space="preserve"> Retrofit GSHP  Size</t>
  </si>
  <si>
    <t xml:space="preserve"> Retrofit ASHP Size</t>
  </si>
  <si>
    <t>Archetype DWH Heating Plant Size</t>
  </si>
  <si>
    <t>Tons Refrig</t>
  </si>
  <si>
    <t xml:space="preserve">Unitary Cost - Geothermal System </t>
  </si>
  <si>
    <t xml:space="preserve">Heating Peak Reduction </t>
  </si>
  <si>
    <t xml:space="preserve">Baseline Heating Size for Fresh Air </t>
  </si>
  <si>
    <t xml:space="preserve">Window/ Wall Ratio </t>
  </si>
  <si>
    <t>Cost is all ~20yr longevity equipment (eg boilers, electric boilers/ radiators).</t>
  </si>
  <si>
    <t>Baseline Primary Heating Source</t>
  </si>
  <si>
    <t>Like-for-Like Retrofit</t>
  </si>
  <si>
    <t>Heating Degree Days</t>
  </si>
  <si>
    <t>HDD 18C</t>
  </si>
  <si>
    <t>GSHP % HP-fuelled</t>
  </si>
  <si>
    <t>List of Baseline Primary Heating Sources</t>
  </si>
  <si>
    <t>Window Heat Loss Savings</t>
  </si>
  <si>
    <t>Roof Heat Loss Savings</t>
  </si>
  <si>
    <t xml:space="preserve">DER Annual Heat Loss </t>
  </si>
  <si>
    <t>Change in Annual Heat Loss</t>
  </si>
  <si>
    <t>Length to Width Ratio</t>
  </si>
  <si>
    <t># L/W</t>
  </si>
  <si>
    <r>
      <t>Relative Costs by Typology ($/ft</t>
    </r>
    <r>
      <rPr>
        <b/>
        <vertAlign val="superscript"/>
        <sz val="11"/>
        <color theme="1"/>
        <rFont val="Franklin Gothic Book"/>
        <family val="2"/>
        <scheme val="minor"/>
      </rPr>
      <t>2</t>
    </r>
    <r>
      <rPr>
        <b/>
        <sz val="11"/>
        <color theme="1"/>
        <rFont val="Franklin Gothic Book"/>
        <family val="2"/>
        <scheme val="minor"/>
      </rPr>
      <t>)</t>
    </r>
  </si>
  <si>
    <t>Building Typology and Fuel Switching Graphical Analysis</t>
  </si>
  <si>
    <t>Utility Rate Input</t>
  </si>
  <si>
    <t>$/unit</t>
  </si>
  <si>
    <t>ekWh/ unit</t>
  </si>
  <si>
    <t>$/ekWh</t>
  </si>
  <si>
    <t>Electricity</t>
  </si>
  <si>
    <t>kWh</t>
  </si>
  <si>
    <t>Natural gas</t>
  </si>
  <si>
    <r>
      <t>m</t>
    </r>
    <r>
      <rPr>
        <vertAlign val="superscript"/>
        <sz val="11"/>
        <color theme="1"/>
        <rFont val="Franklin Gothic Book"/>
        <family val="2"/>
        <scheme val="minor"/>
      </rPr>
      <t>3</t>
    </r>
  </si>
  <si>
    <t>RNG</t>
  </si>
  <si>
    <t>Hydrogen</t>
  </si>
  <si>
    <t>EUI</t>
  </si>
  <si>
    <t>na</t>
  </si>
  <si>
    <t>Use</t>
  </si>
  <si>
    <t>Class 'A' - gas boiler</t>
  </si>
  <si>
    <t>Class 'A' - district heating/ cooling</t>
  </si>
  <si>
    <t>Class 'A' - electric</t>
  </si>
  <si>
    <t>Class 'B' &amp; 'C' - rooftop units</t>
  </si>
  <si>
    <t>Class 'B' &amp; 'C' - electric</t>
  </si>
  <si>
    <t>Restaurant - gas MAU + RTU</t>
  </si>
  <si>
    <t>High-rise hotel - gas boiler</t>
  </si>
  <si>
    <t>Standalone retail</t>
  </si>
  <si>
    <t>Mall retail</t>
  </si>
  <si>
    <t>Pre-2004 apartment - gas boiler</t>
  </si>
  <si>
    <t>Pre-2004 apartment - electric</t>
  </si>
  <si>
    <t>Post-2004 condo (window glazing alternate)</t>
  </si>
  <si>
    <t>Typical house
(Pitched Roof)(Int. Wall Reno)</t>
  </si>
  <si>
    <t>Typical house
(Flat Roof)(Ext. Wall Reno)</t>
  </si>
  <si>
    <t>High water use hospital (inpatient)</t>
  </si>
  <si>
    <t>Low water use hospital (outpatient)</t>
  </si>
  <si>
    <t>Assembly &amp; educational</t>
  </si>
  <si>
    <t>Distributed Energy Resource Measures</t>
  </si>
  <si>
    <t>BUILDINGS' PHYSICAL CHARACTERISTICS</t>
  </si>
  <si>
    <t>Avg Fuel Carbon Price ($/ekWh)</t>
  </si>
  <si>
    <t>HEATING LOADS BASIS (BASELINE)</t>
  </si>
  <si>
    <t>Baseline Fuel Carbon Price ($/ekWh)</t>
  </si>
  <si>
    <t>Cost rate based on sample 2023/2024 commercial consumer all-in rate.</t>
  </si>
  <si>
    <t>Cost rate based on Enbridge website taken Feb 21, 2024. Emissions remain related to methane distribution leaks. Value is a placeholder. Refer to research by The Atmospheric Fund for context.</t>
  </si>
  <si>
    <t>Cost rate input is needed. Emissions value input is needed - value varies considerably by source (eg: green vs blue vs gold hydrogen). Value shown here considers electricity as a source and 70% conversion efficiency (including storage, transmission).</t>
  </si>
  <si>
    <t>Operating Cost</t>
  </si>
  <si>
    <t>Elec ($UI)</t>
  </si>
  <si>
    <t>Building types heated via District Energy (eg district steam, district hot water).</t>
  </si>
  <si>
    <t>Total ($/ft²)</t>
  </si>
  <si>
    <t>Building types use electric boilers/ radiators</t>
  </si>
  <si>
    <t>Gas 
($UI)</t>
  </si>
  <si>
    <t>Building types include boilers, MUA, RTU's, etc. that rely on gas</t>
  </si>
  <si>
    <t>Carbon Cost
($/ft²)</t>
  </si>
  <si>
    <t>Elec
(kWh)</t>
  </si>
  <si>
    <t>Gas
(kWh)</t>
  </si>
  <si>
    <t>Gas 
(%)</t>
  </si>
  <si>
    <t>Elec 
(%)</t>
  </si>
  <si>
    <t>Heating Efficiency</t>
  </si>
  <si>
    <t>Heating EUI</t>
  </si>
  <si>
    <r>
      <t>Elec
(ekWh/ft</t>
    </r>
    <r>
      <rPr>
        <b/>
        <vertAlign val="superscript"/>
        <sz val="11"/>
        <color theme="1"/>
        <rFont val="Franklin Gothic Book"/>
        <family val="2"/>
        <scheme val="minor"/>
      </rPr>
      <t>2</t>
    </r>
    <r>
      <rPr>
        <b/>
        <sz val="11"/>
        <color theme="1"/>
        <rFont val="Franklin Gothic Book"/>
        <family val="2"/>
        <scheme val="minor"/>
      </rPr>
      <t>)</t>
    </r>
  </si>
  <si>
    <r>
      <t>Gas
(ekWh/ft</t>
    </r>
    <r>
      <rPr>
        <b/>
        <vertAlign val="superscript"/>
        <sz val="11"/>
        <color theme="1"/>
        <rFont val="Franklin Gothic Book"/>
        <family val="2"/>
        <scheme val="minor"/>
      </rPr>
      <t>2</t>
    </r>
    <r>
      <rPr>
        <b/>
        <sz val="11"/>
        <color theme="1"/>
        <rFont val="Franklin Gothic Book"/>
        <family val="2"/>
        <scheme val="minor"/>
      </rPr>
      <t>)</t>
    </r>
  </si>
  <si>
    <t>Heat</t>
  </si>
  <si>
    <t>Baseline Heating Efficiency</t>
  </si>
  <si>
    <t>Elec
(ekWh/m²)</t>
  </si>
  <si>
    <t>Gas
(ekWh/m²)</t>
  </si>
  <si>
    <t>Load</t>
  </si>
  <si>
    <r>
      <t>Elec
(ekWh_th/ft</t>
    </r>
    <r>
      <rPr>
        <b/>
        <vertAlign val="superscript"/>
        <sz val="11"/>
        <color theme="1"/>
        <rFont val="Franklin Gothic Book"/>
        <family val="2"/>
        <scheme val="minor"/>
      </rPr>
      <t>2</t>
    </r>
    <r>
      <rPr>
        <b/>
        <sz val="11"/>
        <color theme="1"/>
        <rFont val="Franklin Gothic Book"/>
        <family val="2"/>
        <scheme val="minor"/>
      </rPr>
      <t>)</t>
    </r>
  </si>
  <si>
    <r>
      <t>Gas
(ekWh_th/ft</t>
    </r>
    <r>
      <rPr>
        <b/>
        <vertAlign val="superscript"/>
        <sz val="11"/>
        <color theme="1"/>
        <rFont val="Franklin Gothic Book"/>
        <family val="2"/>
        <scheme val="minor"/>
      </rPr>
      <t>2</t>
    </r>
    <r>
      <rPr>
        <b/>
        <sz val="11"/>
        <color theme="1"/>
        <rFont val="Franklin Gothic Book"/>
        <family val="2"/>
        <scheme val="minor"/>
      </rPr>
      <t>)</t>
    </r>
  </si>
  <si>
    <t>Construction Cost Item</t>
  </si>
  <si>
    <t>Percent on Construction</t>
  </si>
  <si>
    <t>Heating degree days for Toronto, Ontario</t>
  </si>
  <si>
    <t>Current Year</t>
  </si>
  <si>
    <t>UPGRADE or REPLACE building automation system to include:
-  peak-shaving/demand response capability
- weather forecast integrated to pre-heat building when cold weather is arriving.
- control of 2 district energy cooling heat exchangers 
- ADD modulating main line steam control valve (4" dia) c/w new controls air compressor 
- Control of main air handler
- control of 8 heating and cooling pumps
- central monitoring of zone temperatures (per 5000ft2) 
- ADD modulating zoning valves, assume 2" line size. (assume 1 / 10,000ft2)</t>
  </si>
  <si>
    <t>Post-2004 condo</t>
  </si>
  <si>
    <t>High-rise hotel - electric</t>
  </si>
  <si>
    <t>Net-Zero Building Pathways Tool Tabs</t>
  </si>
  <si>
    <t>Tabs</t>
  </si>
  <si>
    <t>Content</t>
  </si>
  <si>
    <t>[Intro]</t>
  </si>
  <si>
    <t>High-level instruction, background, and navigation for the tool</t>
  </si>
  <si>
    <t>[Global Inputs]</t>
  </si>
  <si>
    <t>Input assumption applied to multiple tabs within the tool</t>
  </si>
  <si>
    <t>[Building Typology]</t>
  </si>
  <si>
    <t>Inputs and outputs on building types, baseline energy consumption, and system sizing</t>
  </si>
  <si>
    <t>[System Descriptions]</t>
  </si>
  <si>
    <t>Descriptions of the default inputs used for the tools electrical, mechanical, and building envelope calculations</t>
  </si>
  <si>
    <t>[FS - Unitary Capital]</t>
  </si>
  <si>
    <t>Input tab for unitary capital replacement costs and fixed electrical and equipment capital costs of each fuel-switching option</t>
  </si>
  <si>
    <t>[FS – Capital Output]</t>
  </si>
  <si>
    <t>Output tab for the calculated capital replacement costs of each fuel-switching option</t>
  </si>
  <si>
    <t>[FS - Operational]</t>
  </si>
  <si>
    <t>Input tab about for the annual utility cost of each fuel-switching option</t>
  </si>
  <si>
    <t>[FS - Business Case]</t>
  </si>
  <si>
    <t>Output tab calculating the total retrofit cost and comparing each option to the base case</t>
  </si>
  <si>
    <t>[FS – Graphical Analyses]</t>
  </si>
  <si>
    <t>Provides graphical representations of fuel switching data</t>
  </si>
  <si>
    <t>[Efficiency]</t>
  </si>
  <si>
    <t>Inputs and outputs on building form, massing, current envelope measures, “business-as-usual” envelope-replacement measures, and deep energy retrofit (DER) replacement measures</t>
  </si>
  <si>
    <t>Capital Cost Calculations: Building Level</t>
  </si>
  <si>
    <t>System Retrofit Tabs
(Fuel Switching)</t>
  </si>
  <si>
    <t>Envelope Replacement Tabs
(Efficiency)</t>
  </si>
  <si>
    <t>Workbook Flow</t>
  </si>
  <si>
    <t>Visual Description:</t>
  </si>
  <si>
    <t xml:space="preserve">Colours used follow the tab groupings </t>
  </si>
  <si>
    <t xml:space="preserve">·    </t>
  </si>
  <si>
    <t>The arrows describe how each tab is related and order of operations</t>
  </si>
  <si>
    <t>Calculation Outputs/ Information</t>
  </si>
  <si>
    <t>Non-Changeable:</t>
  </si>
  <si>
    <t xml:space="preserve">Flagged Values:  </t>
  </si>
  <si>
    <t>Baseline Calibrated Energy Uses (eGWh) per Building Type</t>
  </si>
  <si>
    <t>Description of Graphic:</t>
  </si>
  <si>
    <t>Includes user notes with explanations as to why the values are flagged</t>
  </si>
  <si>
    <t>Comparison of how much energy each building sub-occupancy is expected to use based on the associated baseline predicted energy use and the measured energy. Data points can be found in the [Building Typology] tab.</t>
  </si>
  <si>
    <t xml:space="preserve">Shows and compares the calculated total costs ($/yr/ft²) from the [FS - Business Case] tab for each retrofit versus the base case for all sub-occupancy types in this tool. </t>
  </si>
  <si>
    <t>This tab contains two graphs. To view each graph collapse/expand rows either using the [+] icons at rows 44 and 85                             , or the [1]/[2] icon in the top-left corner.</t>
  </si>
  <si>
    <t>Avg Fuel Emissions Intesity - Baseline Year to 2050
(g/ ekWh)</t>
  </si>
  <si>
    <t>Complete system replacement with air source VRF system (5 tons) and ERV for ventilation with 2KW electric preheat.  Electric resistance water heating existing to remain. (Not a geo solution due to size of building)</t>
  </si>
  <si>
    <t>Replace gas boiler with GSHP, 3-4 large water-source WSHPs (each 165 ton-223 tons).  Add 150 ton polishing water to water heat pump to increase supply temperature to 160F; retrofit system to provide cascade heating loop to permit lower temperature return water.  Remove existing cooling tower and chillers.  Add geo-sourced DWH to serve washrooms.</t>
  </si>
  <si>
    <t>New water-to-air MAU (100 tons.)Add CO2 based water heating system (209 tons) since geo will not balance for this occupancy type with DWH included.</t>
  </si>
  <si>
    <t>New 5-ton  heat pump based furnace with desuperheater and additional capacity for DWH heating.  3KW electric DWH polishing coil and tank.</t>
  </si>
  <si>
    <t>$/Building</t>
  </si>
  <si>
    <r>
      <t xml:space="preserve">Pathways Cost Estimation 
</t>
    </r>
    <r>
      <rPr>
        <sz val="11"/>
        <color theme="1"/>
        <rFont val="Franklin Gothic Book"/>
        <family val="2"/>
        <scheme val="minor"/>
      </rPr>
      <t>(This Spreadsheet)</t>
    </r>
  </si>
  <si>
    <r>
      <t xml:space="preserve">The methodology applied to this tool is found in the following
Net Zero Pathways Tool Guide and Methodology link: </t>
    </r>
    <r>
      <rPr>
        <b/>
        <sz val="11"/>
        <color theme="1"/>
        <rFont val="Franklin Gothic Book"/>
        <family val="2"/>
        <scheme val="minor"/>
      </rPr>
      <t>https://2030districts.org/toronto/wp-content/uploads/sites/28/Toronto-2030-District-Net-Zero-Buildings-Pathways-Tool-FINAL-Guide-and-Methodology-May-2024.pdf</t>
    </r>
    <r>
      <rPr>
        <sz val="11"/>
        <color theme="1"/>
        <rFont val="Franklin Gothic Book"/>
        <family val="2"/>
        <scheme val="minor"/>
      </rPr>
      <t xml:space="preserve">. 
Default Gas and Electrical Use data was collected in a previous 2030 Project </t>
    </r>
    <r>
      <rPr>
        <b/>
        <sz val="11"/>
        <color theme="1"/>
        <rFont val="Franklin Gothic Book"/>
        <family val="2"/>
        <scheme val="minor"/>
      </rPr>
      <t>(https://www.toronto2030platform.ca/</t>
    </r>
    <r>
      <rPr>
        <sz val="11"/>
        <color theme="1"/>
        <rFont val="Franklin Gothic Book"/>
        <family val="2"/>
        <scheme val="minor"/>
      </rPr>
      <t>), then divided into occupancy types, and further divided into archetypes representing the  most common building energy use signatures.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</si>
</sst>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_-* #,##0_-;\-* #,##0_-;_-* &quot;-&quot;??_-;_-@_-"/>
    <numFmt numFmtId="168" formatCode="_-&quot;$&quot;* #,##0_-;\-&quot;$&quot;* #,##0_-;_-&quot;$&quot;* &quot;-&quot;??_-;_-@_-"/>
    <numFmt numFmtId="169" formatCode="_-* #,##0.0_-;\-* #,##0.0_-;_-* &quot;-&quot;??_-;_-@_-"/>
    <numFmt numFmtId="170" formatCode="_(* #,##0.0_);_(* \(#,##0.0\);_(* &quot;-&quot;??_);_(@_)"/>
    <numFmt numFmtId="171" formatCode="&quot;$&quot;#,##0"/>
    <numFmt numFmtId="172" formatCode="_-&quot;$&quot;* #,##0.000_-;\-&quot;$&quot;* #,##0.000_-;_-&quot;$&quot;* &quot;-&quot;??_-;_-@_-"/>
    <numFmt numFmtId="173" formatCode="_(* #,##0.000_);_(* \(#,##0.000\);_(* &quot;-&quot;??_);_(@_)"/>
  </numFmts>
  <fonts count="21" x14ac:knownFonts="1">
    <font>
      <sz val="11"/>
      <color theme="1"/>
      <name val="Franklin Gothic Book"/>
      <family val="2"/>
      <scheme val="minor"/>
    </font>
    <font>
      <b/>
      <sz val="14"/>
      <color theme="1"/>
      <name val="Franklin Gothic Book"/>
      <family val="2"/>
      <scheme val="minor"/>
    </font>
    <font>
      <b/>
      <sz val="11"/>
      <color theme="1"/>
      <name val="Franklin Gothic Book"/>
      <family val="2"/>
      <scheme val="minor"/>
    </font>
    <font>
      <sz val="9"/>
      <color indexed="81"/>
      <name val="Tahoma"/>
      <family val="2"/>
    </font>
    <font>
      <b/>
      <sz val="9"/>
      <color indexed="81"/>
      <name val="Tahoma"/>
      <family val="2"/>
    </font>
    <font>
      <sz val="11"/>
      <color theme="1"/>
      <name val="Franklin Gothic Book"/>
      <family val="2"/>
      <scheme val="minor"/>
    </font>
    <font>
      <b/>
      <sz val="12"/>
      <color theme="1"/>
      <name val="Franklin Gothic Book"/>
      <family val="2"/>
      <scheme val="minor"/>
    </font>
    <font>
      <b/>
      <sz val="10"/>
      <color indexed="9"/>
      <name val="Verdana"/>
      <family val="2"/>
    </font>
    <font>
      <sz val="11"/>
      <name val="Franklin Gothic Book"/>
      <family val="2"/>
      <scheme val="minor"/>
    </font>
    <font>
      <sz val="8"/>
      <name val="Franklin Gothic Book"/>
      <family val="2"/>
      <scheme val="minor"/>
    </font>
    <font>
      <b/>
      <sz val="18"/>
      <color theme="1"/>
      <name val="Franklin Gothic Book"/>
      <family val="2"/>
      <scheme val="minor"/>
    </font>
    <font>
      <sz val="11"/>
      <color rgb="FF000000"/>
      <name val="Franklin Gothic Book"/>
      <family val="2"/>
      <scheme val="minor"/>
    </font>
    <font>
      <strike/>
      <sz val="11"/>
      <color theme="1"/>
      <name val="Franklin Gothic Book"/>
      <family val="2"/>
      <scheme val="minor"/>
    </font>
    <font>
      <sz val="11"/>
      <color rgb="FFFF0000"/>
      <name val="Franklin Gothic Book"/>
      <family val="2"/>
      <scheme val="minor"/>
    </font>
    <font>
      <b/>
      <vertAlign val="superscript"/>
      <sz val="11"/>
      <color theme="1"/>
      <name val="Franklin Gothic Book"/>
      <family val="2"/>
      <scheme val="minor"/>
    </font>
    <font>
      <b/>
      <vertAlign val="superscript"/>
      <sz val="11"/>
      <color rgb="FF040C28"/>
      <name val="Franklin Gothic Book"/>
      <family val="2"/>
      <scheme val="minor"/>
    </font>
    <font>
      <b/>
      <sz val="11"/>
      <color rgb="FF040C28"/>
      <name val="Franklin Gothic Book"/>
      <family val="2"/>
      <scheme val="minor"/>
    </font>
    <font>
      <vertAlign val="superscript"/>
      <sz val="11"/>
      <color theme="1"/>
      <name val="Franklin Gothic Book"/>
      <family val="2"/>
      <scheme val="minor"/>
    </font>
    <font>
      <sz val="11"/>
      <color theme="1"/>
      <name val="Franklin Gothic Book"/>
      <family val="2"/>
    </font>
    <font>
      <sz val="11"/>
      <color rgb="FF333533"/>
      <name val="Franklin Gothic Book"/>
      <family val="2"/>
    </font>
    <font>
      <sz val="11"/>
      <color rgb="FF509ED7"/>
      <name val="Symbol"/>
      <family val="1"/>
      <charset val="2"/>
    </font>
  </fonts>
  <fills count="17">
    <fill>
      <patternFill patternType="none"/>
    </fill>
    <fill>
      <patternFill patternType="gray125"/>
    </fill>
    <fill>
      <patternFill patternType="solid">
        <fgColor rgb="FFD9D9D9"/>
        <bgColor indexed="64"/>
      </patternFill>
    </fill>
    <fill>
      <patternFill patternType="solid">
        <fgColor theme="5" tint="0.79998168889431442"/>
        <bgColor indexed="64"/>
      </patternFill>
    </fill>
    <fill>
      <patternFill patternType="solid">
        <fgColor indexed="8"/>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59999389629810485"/>
        <bgColor indexed="64"/>
      </patternFill>
    </fill>
    <fill>
      <patternFill patternType="solid">
        <fgColor rgb="FFE3E5E3"/>
        <bgColor indexed="64"/>
      </patternFill>
    </fill>
    <fill>
      <patternFill patternType="solid">
        <fgColor theme="2"/>
        <bgColor indexed="64"/>
      </patternFill>
    </fill>
    <fill>
      <patternFill patternType="solid">
        <fgColor rgb="FFD5D7D5"/>
        <bgColor indexed="64"/>
      </patternFill>
    </fill>
    <fill>
      <patternFill patternType="solid">
        <fgColor rgb="FFF9BDBD"/>
        <bgColor indexed="64"/>
      </patternFill>
    </fill>
    <fill>
      <patternFill patternType="solid">
        <fgColor rgb="FFE0C6DF"/>
        <bgColor indexed="64"/>
      </patternFill>
    </fill>
    <fill>
      <patternFill patternType="solid">
        <fgColor rgb="FFB9D8E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39994506668294322"/>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tint="0.79998168889431442"/>
      </left>
      <right/>
      <top style="thin">
        <color theme="1" tint="0.79998168889431442"/>
      </top>
      <bottom style="thin">
        <color theme="1" tint="0.79998168889431442"/>
      </bottom>
      <diagonal/>
    </border>
    <border>
      <left/>
      <right style="thin">
        <color theme="1" tint="0.79998168889431442"/>
      </right>
      <top style="thin">
        <color theme="1" tint="0.79998168889431442"/>
      </top>
      <bottom style="thin">
        <color theme="1" tint="0.79998168889431442"/>
      </bottom>
      <diagonal/>
    </border>
    <border>
      <left/>
      <right/>
      <top style="thin">
        <color theme="1" tint="0.79998168889431442"/>
      </top>
      <bottom style="thin">
        <color theme="1" tint="0.79998168889431442"/>
      </bottom>
      <diagonal/>
    </border>
    <border>
      <left/>
      <right/>
      <top style="thin">
        <color theme="1" tint="0.79998168889431442"/>
      </top>
      <bottom style="thin">
        <color theme="1" tint="0.39994506668294322"/>
      </bottom>
      <diagonal/>
    </border>
    <border>
      <left/>
      <right style="thin">
        <color theme="1" tint="0.59999389629810485"/>
      </right>
      <top/>
      <bottom/>
      <diagonal/>
    </border>
    <border>
      <left/>
      <right style="thin">
        <color theme="1" tint="0.59999389629810485"/>
      </right>
      <top style="thin">
        <color theme="1" tint="0.39994506668294322"/>
      </top>
      <bottom style="thin">
        <color theme="1" tint="0.79998168889431442"/>
      </bottom>
      <diagonal/>
    </border>
    <border>
      <left style="thin">
        <color theme="1" tint="0.59999389629810485"/>
      </left>
      <right style="thin">
        <color theme="1" tint="0.59999389629810485"/>
      </right>
      <top/>
      <bottom/>
      <diagonal/>
    </border>
    <border>
      <left style="thin">
        <color theme="1" tint="0.59999389629810485"/>
      </left>
      <right style="thin">
        <color theme="1" tint="0.59999389629810485"/>
      </right>
      <top style="thin">
        <color theme="1" tint="0.39994506668294322"/>
      </top>
      <bottom style="thin">
        <color theme="1" tint="0.79998168889431442"/>
      </bottom>
      <diagonal/>
    </border>
    <border>
      <left style="thin">
        <color theme="1" tint="0.59999389629810485"/>
      </left>
      <right/>
      <top/>
      <bottom/>
      <diagonal/>
    </border>
    <border>
      <left style="thin">
        <color theme="1" tint="0.59999389629810485"/>
      </left>
      <right/>
      <top style="thin">
        <color theme="1" tint="0.39994506668294322"/>
      </top>
      <bottom style="thin">
        <color theme="1" tint="0.79998168889431442"/>
      </bottom>
      <diagonal/>
    </border>
    <border>
      <left/>
      <right style="thin">
        <color theme="1" tint="0.59999389629810485"/>
      </right>
      <top style="thin">
        <color theme="1" tint="0.79998168889431442"/>
      </top>
      <bottom style="thin">
        <color theme="1" tint="0.39994506668294322"/>
      </bottom>
      <diagonal/>
    </border>
    <border>
      <left style="thin">
        <color theme="1" tint="0.59999389629810485"/>
      </left>
      <right/>
      <top style="thin">
        <color theme="1" tint="0.79998168889431442"/>
      </top>
      <bottom style="thin">
        <color theme="1" tint="0.39994506668294322"/>
      </bottom>
      <diagonal/>
    </border>
    <border>
      <left style="thin">
        <color theme="1" tint="0.59999389629810485"/>
      </left>
      <right style="thin">
        <color theme="1" tint="0.59999389629810485"/>
      </right>
      <top/>
      <bottom style="thin">
        <color theme="1" tint="0.3999450666829432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1" tint="0.59999389629810485"/>
      </left>
      <right/>
      <top/>
      <bottom style="thin">
        <color theme="1" tint="0.39994506668294322"/>
      </bottom>
      <diagonal/>
    </border>
    <border>
      <left/>
      <right style="thin">
        <color theme="1" tint="0.59999389629810485"/>
      </right>
      <top/>
      <bottom style="thin">
        <color theme="1" tint="0.39994506668294322"/>
      </bottom>
      <diagonal/>
    </border>
    <border>
      <left/>
      <right/>
      <top/>
      <bottom style="thin">
        <color theme="1" tint="0.399945066682943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3" tint="0.39997558519241921"/>
      </left>
      <right style="thin">
        <color theme="3" tint="0.39997558519241921"/>
      </right>
      <top style="thin">
        <color theme="3" tint="0.39997558519241921"/>
      </top>
      <bottom/>
      <diagonal/>
    </border>
  </borders>
  <cellStyleXfs count="6">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7" fillId="4" borderId="0">
      <alignment horizontal="left" vertical="center" indent="1"/>
    </xf>
    <xf numFmtId="44" fontId="5" fillId="0" borderId="0" applyFont="0" applyFill="0" applyBorder="0" applyAlignment="0" applyProtection="0"/>
  </cellStyleXfs>
  <cellXfs count="330">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horizontal="left" vertical="center" wrapText="1"/>
    </xf>
    <xf numFmtId="0" fontId="0" fillId="5" borderId="1" xfId="0"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vertical="center" wrapText="1"/>
    </xf>
    <xf numFmtId="166" fontId="0" fillId="0" borderId="0" xfId="0" applyNumberFormat="1" applyAlignment="1">
      <alignment horizontal="right" vertical="center" wrapText="1"/>
    </xf>
    <xf numFmtId="0" fontId="10" fillId="0" borderId="0" xfId="0" applyFont="1" applyAlignment="1">
      <alignment horizontal="center" vertical="center" wrapText="1"/>
    </xf>
    <xf numFmtId="168" fontId="0" fillId="0" borderId="0" xfId="2" applyNumberFormat="1" applyFont="1" applyAlignment="1">
      <alignment horizontal="left" vertical="center" wrapText="1"/>
    </xf>
    <xf numFmtId="0" fontId="0" fillId="9" borderId="1" xfId="0" applyFill="1" applyBorder="1" applyAlignment="1">
      <alignment horizontal="left" vertical="center" wrapText="1"/>
    </xf>
    <xf numFmtId="165" fontId="0" fillId="0" borderId="0" xfId="1" applyFont="1"/>
    <xf numFmtId="165" fontId="2" fillId="0" borderId="0" xfId="1" applyFont="1"/>
    <xf numFmtId="165" fontId="2" fillId="2" borderId="0" xfId="1" applyFont="1" applyFill="1" applyAlignment="1">
      <alignment horizontal="center" vertical="center" wrapText="1"/>
    </xf>
    <xf numFmtId="165" fontId="2" fillId="2" borderId="0" xfId="1" applyFont="1" applyFill="1" applyAlignment="1">
      <alignment horizontal="left" wrapText="1"/>
    </xf>
    <xf numFmtId="0" fontId="0" fillId="8" borderId="1" xfId="0" applyFill="1" applyBorder="1" applyAlignment="1">
      <alignment horizontal="left" vertical="top" wrapText="1"/>
    </xf>
    <xf numFmtId="0" fontId="2" fillId="2" borderId="15" xfId="0" applyFont="1" applyFill="1" applyBorder="1" applyAlignment="1">
      <alignment horizontal="right" vertical="center" wrapText="1"/>
    </xf>
    <xf numFmtId="0" fontId="2" fillId="2" borderId="15" xfId="0" applyFont="1" applyFill="1" applyBorder="1" applyAlignment="1">
      <alignment horizontal="center" vertical="center" wrapText="1"/>
    </xf>
    <xf numFmtId="1" fontId="0" fillId="9" borderId="4" xfId="3" applyNumberFormat="1" applyFont="1" applyFill="1" applyBorder="1" applyAlignment="1">
      <alignment vertical="center"/>
    </xf>
    <xf numFmtId="9" fontId="0" fillId="9" borderId="1" xfId="3" applyFont="1" applyFill="1" applyBorder="1" applyAlignment="1">
      <alignment vertical="center"/>
    </xf>
    <xf numFmtId="2" fontId="0" fillId="0" borderId="2" xfId="3" applyNumberFormat="1" applyFont="1" applyFill="1" applyBorder="1" applyAlignment="1">
      <alignment vertical="center"/>
    </xf>
    <xf numFmtId="9" fontId="0" fillId="9" borderId="3" xfId="3" applyFont="1" applyFill="1" applyBorder="1" applyAlignment="1">
      <alignment vertical="center"/>
    </xf>
    <xf numFmtId="2" fontId="0" fillId="0" borderId="4" xfId="3" applyNumberFormat="1" applyFont="1" applyFill="1" applyBorder="1" applyAlignment="1">
      <alignment vertical="center"/>
    </xf>
    <xf numFmtId="2" fontId="0" fillId="0" borderId="9" xfId="0" applyNumberFormat="1" applyBorder="1" applyAlignment="1">
      <alignment vertical="center"/>
    </xf>
    <xf numFmtId="165" fontId="0" fillId="0" borderId="0" xfId="1" applyFont="1" applyAlignment="1">
      <alignment vertical="center"/>
    </xf>
    <xf numFmtId="0" fontId="2" fillId="10" borderId="5" xfId="0" applyFont="1" applyFill="1" applyBorder="1" applyAlignment="1">
      <alignment horizontal="center" vertical="center" wrapText="1"/>
    </xf>
    <xf numFmtId="2" fontId="0" fillId="0" borderId="2" xfId="3" applyNumberFormat="1" applyFont="1" applyFill="1" applyBorder="1"/>
    <xf numFmtId="2" fontId="0" fillId="0" borderId="4" xfId="3" applyNumberFormat="1" applyFont="1" applyFill="1" applyBorder="1"/>
    <xf numFmtId="0" fontId="0" fillId="11" borderId="16" xfId="0" applyFill="1" applyBorder="1" applyAlignment="1">
      <alignment horizontal="left" vertical="center"/>
    </xf>
    <xf numFmtId="0" fontId="0" fillId="11" borderId="10" xfId="0" applyFill="1" applyBorder="1" applyAlignment="1">
      <alignment horizontal="left" vertical="center"/>
    </xf>
    <xf numFmtId="0" fontId="0" fillId="11" borderId="16" xfId="0" applyFill="1" applyBorder="1" applyAlignment="1">
      <alignment horizontal="left" vertical="center" wrapText="1"/>
    </xf>
    <xf numFmtId="0" fontId="0" fillId="11" borderId="1" xfId="0" applyFill="1" applyBorder="1" applyAlignment="1">
      <alignment horizontal="left" vertical="center" wrapText="1"/>
    </xf>
    <xf numFmtId="0" fontId="0" fillId="11" borderId="10" xfId="0" applyFill="1" applyBorder="1" applyAlignment="1">
      <alignment horizontal="left" vertical="center" wrapText="1"/>
    </xf>
    <xf numFmtId="0" fontId="0" fillId="11" borderId="3" xfId="0" applyFill="1" applyBorder="1" applyAlignment="1">
      <alignment horizontal="left" vertical="center" wrapText="1"/>
    </xf>
    <xf numFmtId="10" fontId="0" fillId="9" borderId="4" xfId="3" applyNumberFormat="1" applyFont="1" applyFill="1" applyBorder="1" applyAlignment="1">
      <alignment vertical="center"/>
    </xf>
    <xf numFmtId="0" fontId="0" fillId="11" borderId="5" xfId="0" applyFill="1" applyBorder="1" applyAlignment="1">
      <alignment horizontal="left" vertical="center"/>
    </xf>
    <xf numFmtId="0" fontId="0" fillId="0" borderId="19" xfId="0" applyBorder="1" applyAlignment="1">
      <alignment horizontal="right" vertical="center" wrapText="1"/>
    </xf>
    <xf numFmtId="166" fontId="0" fillId="9" borderId="19" xfId="0" applyNumberFormat="1" applyFill="1" applyBorder="1" applyAlignment="1">
      <alignment horizontal="left" vertical="center" wrapText="1"/>
    </xf>
    <xf numFmtId="0" fontId="0" fillId="9" borderId="19" xfId="0" applyFill="1" applyBorder="1" applyAlignment="1">
      <alignment horizontal="left" vertical="center" wrapText="1"/>
    </xf>
    <xf numFmtId="0" fontId="2" fillId="2" borderId="19" xfId="0" applyFont="1" applyFill="1" applyBorder="1" applyAlignment="1">
      <alignment horizontal="center" vertical="center" wrapText="1"/>
    </xf>
    <xf numFmtId="0" fontId="0" fillId="2" borderId="19" xfId="0" applyFill="1" applyBorder="1" applyAlignment="1">
      <alignment vertical="center" wrapText="1"/>
    </xf>
    <xf numFmtId="166" fontId="0" fillId="2" borderId="19" xfId="0" applyNumberFormat="1" applyFill="1" applyBorder="1" applyAlignment="1">
      <alignment horizontal="right" vertical="center" wrapText="1"/>
    </xf>
    <xf numFmtId="0" fontId="0" fillId="0" borderId="19" xfId="0" applyBorder="1" applyAlignment="1">
      <alignment vertical="center" wrapText="1"/>
    </xf>
    <xf numFmtId="166" fontId="0" fillId="2" borderId="19" xfId="0" applyNumberFormat="1" applyFill="1" applyBorder="1" applyAlignment="1">
      <alignment horizontal="left" vertical="center" wrapText="1"/>
    </xf>
    <xf numFmtId="0" fontId="0" fillId="2" borderId="19" xfId="0" applyFill="1" applyBorder="1" applyAlignment="1">
      <alignment horizontal="left" vertical="center" wrapText="1"/>
    </xf>
    <xf numFmtId="166" fontId="0" fillId="9" borderId="19" xfId="0" applyNumberFormat="1" applyFill="1" applyBorder="1" applyAlignment="1">
      <alignment vertical="center" wrapText="1"/>
    </xf>
    <xf numFmtId="0" fontId="0" fillId="9" borderId="19" xfId="0" applyFill="1" applyBorder="1" applyAlignment="1">
      <alignment vertical="center" wrapText="1"/>
    </xf>
    <xf numFmtId="166" fontId="0" fillId="2" borderId="19" xfId="0" applyNumberFormat="1" applyFill="1" applyBorder="1" applyAlignment="1">
      <alignment vertical="center" wrapText="1"/>
    </xf>
    <xf numFmtId="166" fontId="0" fillId="0" borderId="19" xfId="0" applyNumberFormat="1" applyBorder="1" applyAlignment="1">
      <alignment horizontal="left" vertical="center" wrapText="1"/>
    </xf>
    <xf numFmtId="0" fontId="0" fillId="0" borderId="19" xfId="0" applyBorder="1" applyAlignment="1">
      <alignment horizontal="left" vertical="center" wrapText="1"/>
    </xf>
    <xf numFmtId="166" fontId="0" fillId="0" borderId="19" xfId="0" applyNumberFormat="1" applyBorder="1" applyAlignment="1">
      <alignment vertical="center" wrapText="1"/>
    </xf>
    <xf numFmtId="0" fontId="0" fillId="2" borderId="19" xfId="0" applyFill="1" applyBorder="1" applyAlignment="1">
      <alignment horizontal="righ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0" fillId="12" borderId="21" xfId="0" applyFont="1" applyFill="1" applyBorder="1" applyAlignment="1">
      <alignment vertical="center"/>
    </xf>
    <xf numFmtId="0" fontId="10" fillId="12" borderId="23" xfId="0" applyFont="1" applyFill="1" applyBorder="1" applyAlignment="1">
      <alignment vertical="center"/>
    </xf>
    <xf numFmtId="0" fontId="10" fillId="8" borderId="21" xfId="0" applyFont="1" applyFill="1" applyBorder="1" applyAlignment="1">
      <alignment vertical="center"/>
    </xf>
    <xf numFmtId="0" fontId="10" fillId="8" borderId="0" xfId="0" applyFont="1" applyFill="1" applyAlignment="1">
      <alignment vertical="center"/>
    </xf>
    <xf numFmtId="0" fontId="10" fillId="8" borderId="23" xfId="0" applyFont="1" applyFill="1" applyBorder="1" applyAlignment="1">
      <alignment vertical="center"/>
    </xf>
    <xf numFmtId="0" fontId="10" fillId="8" borderId="22" xfId="0" applyFont="1" applyFill="1" applyBorder="1" applyAlignment="1">
      <alignment vertical="center"/>
    </xf>
    <xf numFmtId="0" fontId="1" fillId="0" borderId="19" xfId="0" applyFont="1" applyBorder="1" applyAlignment="1">
      <alignment horizontal="left" vertical="center" wrapText="1"/>
    </xf>
    <xf numFmtId="0" fontId="0" fillId="0" borderId="19" xfId="0" applyBorder="1" applyAlignment="1">
      <alignment horizontal="left" vertical="center"/>
    </xf>
    <xf numFmtId="0" fontId="6" fillId="9" borderId="19" xfId="0" applyFont="1" applyFill="1" applyBorder="1" applyAlignment="1">
      <alignment vertical="center" wrapText="1"/>
    </xf>
    <xf numFmtId="9" fontId="0" fillId="7" borderId="19" xfId="3" applyFont="1" applyFill="1" applyBorder="1" applyAlignment="1">
      <alignment horizontal="right" vertical="center"/>
    </xf>
    <xf numFmtId="167" fontId="0" fillId="9" borderId="19" xfId="1" applyNumberFormat="1" applyFont="1" applyFill="1" applyBorder="1" applyAlignment="1">
      <alignment horizontal="right" vertical="center"/>
    </xf>
    <xf numFmtId="167" fontId="0" fillId="0" borderId="19" xfId="1" applyNumberFormat="1" applyFont="1" applyFill="1" applyBorder="1" applyAlignment="1">
      <alignment horizontal="right" vertical="center"/>
    </xf>
    <xf numFmtId="9" fontId="0" fillId="0" borderId="19" xfId="0" applyNumberFormat="1" applyBorder="1" applyAlignment="1">
      <alignment horizontal="right" vertical="center" wrapText="1"/>
    </xf>
    <xf numFmtId="9" fontId="0" fillId="9" borderId="19" xfId="3" applyFont="1" applyFill="1" applyBorder="1" applyAlignment="1">
      <alignment horizontal="right" vertical="center"/>
    </xf>
    <xf numFmtId="166" fontId="0" fillId="0" borderId="19" xfId="0" applyNumberFormat="1" applyBorder="1" applyAlignment="1">
      <alignment horizontal="right" vertical="center" wrapText="1"/>
    </xf>
    <xf numFmtId="166" fontId="0" fillId="9" borderId="19" xfId="0" applyNumberFormat="1" applyFill="1" applyBorder="1" applyAlignment="1">
      <alignment horizontal="right" vertical="center" wrapText="1"/>
    </xf>
    <xf numFmtId="43" fontId="0" fillId="0" borderId="19" xfId="0" applyNumberFormat="1" applyBorder="1" applyAlignment="1">
      <alignment vertical="center"/>
    </xf>
    <xf numFmtId="0" fontId="0" fillId="0" borderId="19" xfId="0" applyBorder="1" applyAlignment="1">
      <alignment vertical="center"/>
    </xf>
    <xf numFmtId="43" fontId="0" fillId="0" borderId="19" xfId="1" applyNumberFormat="1" applyFont="1" applyFill="1" applyBorder="1" applyAlignment="1">
      <alignment horizontal="right" vertical="center"/>
    </xf>
    <xf numFmtId="169" fontId="0" fillId="9" borderId="19" xfId="1" applyNumberFormat="1" applyFont="1" applyFill="1" applyBorder="1" applyAlignment="1">
      <alignment horizontal="right" vertical="center"/>
    </xf>
    <xf numFmtId="167" fontId="0" fillId="0" borderId="19" xfId="0" applyNumberFormat="1" applyBorder="1" applyAlignment="1">
      <alignment horizontal="right" vertical="center" wrapText="1"/>
    </xf>
    <xf numFmtId="9" fontId="0" fillId="9" borderId="19" xfId="3" applyFont="1" applyFill="1" applyBorder="1" applyAlignment="1">
      <alignment vertical="center"/>
    </xf>
    <xf numFmtId="169" fontId="0" fillId="0" borderId="19" xfId="0" applyNumberFormat="1" applyBorder="1" applyAlignment="1">
      <alignment horizontal="right" vertical="center" wrapText="1"/>
    </xf>
    <xf numFmtId="9" fontId="0" fillId="2" borderId="19" xfId="3" applyFont="1" applyFill="1" applyBorder="1" applyAlignment="1">
      <alignment horizontal="right" vertical="center"/>
    </xf>
    <xf numFmtId="167" fontId="0" fillId="2" borderId="19" xfId="1" applyNumberFormat="1" applyFont="1" applyFill="1" applyBorder="1" applyAlignment="1">
      <alignment horizontal="right" vertical="center"/>
    </xf>
    <xf numFmtId="9" fontId="0" fillId="2" borderId="19" xfId="0" applyNumberFormat="1" applyFill="1" applyBorder="1" applyAlignment="1">
      <alignment horizontal="right" vertical="center" wrapText="1"/>
    </xf>
    <xf numFmtId="169" fontId="0" fillId="2" borderId="19" xfId="1" applyNumberFormat="1" applyFont="1" applyFill="1" applyBorder="1" applyAlignment="1">
      <alignment horizontal="right" vertical="center"/>
    </xf>
    <xf numFmtId="9" fontId="0" fillId="2" borderId="19" xfId="3" applyFont="1" applyFill="1" applyBorder="1" applyAlignment="1">
      <alignment vertical="center"/>
    </xf>
    <xf numFmtId="169" fontId="0" fillId="0" borderId="19" xfId="1" applyNumberFormat="1" applyFont="1" applyBorder="1" applyAlignment="1">
      <alignment horizontal="right" vertical="center"/>
    </xf>
    <xf numFmtId="9" fontId="0" fillId="0" borderId="19" xfId="3" applyFont="1" applyBorder="1" applyAlignment="1">
      <alignment vertical="center"/>
    </xf>
    <xf numFmtId="9" fontId="0" fillId="0" borderId="19" xfId="3" applyFont="1" applyFill="1" applyBorder="1" applyAlignment="1">
      <alignment vertical="center"/>
    </xf>
    <xf numFmtId="169" fontId="0" fillId="2" borderId="19" xfId="1" applyNumberFormat="1" applyFont="1" applyFill="1" applyBorder="1" applyAlignment="1">
      <alignment vertical="center"/>
    </xf>
    <xf numFmtId="169" fontId="0" fillId="0" borderId="19" xfId="1" applyNumberFormat="1" applyFont="1" applyBorder="1" applyAlignment="1">
      <alignment vertical="center"/>
    </xf>
    <xf numFmtId="0" fontId="0" fillId="2" borderId="19" xfId="0" applyFill="1" applyBorder="1" applyAlignment="1">
      <alignment horizontal="right" vertical="center"/>
    </xf>
    <xf numFmtId="0" fontId="0" fillId="2" borderId="19" xfId="0" applyFill="1" applyBorder="1" applyAlignment="1">
      <alignment vertical="center"/>
    </xf>
    <xf numFmtId="0" fontId="0" fillId="2" borderId="19" xfId="0" applyFill="1" applyBorder="1" applyAlignment="1">
      <alignment horizontal="left" vertical="center"/>
    </xf>
    <xf numFmtId="167" fontId="0" fillId="2" borderId="19" xfId="0" applyNumberFormat="1" applyFill="1" applyBorder="1" applyAlignment="1">
      <alignment vertical="center" wrapText="1"/>
    </xf>
    <xf numFmtId="167" fontId="0" fillId="0" borderId="19" xfId="0" applyNumberFormat="1" applyBorder="1" applyAlignment="1">
      <alignment vertical="center" wrapText="1"/>
    </xf>
    <xf numFmtId="9" fontId="0" fillId="0" borderId="19" xfId="3" applyFont="1" applyBorder="1" applyAlignment="1">
      <alignment vertical="center" wrapText="1"/>
    </xf>
    <xf numFmtId="0" fontId="0" fillId="9" borderId="19" xfId="0" applyFill="1" applyBorder="1" applyAlignment="1">
      <alignment wrapText="1"/>
    </xf>
    <xf numFmtId="0" fontId="6" fillId="0" borderId="19" xfId="0" applyFont="1" applyBorder="1" applyAlignment="1">
      <alignment vertical="center" wrapText="1"/>
    </xf>
    <xf numFmtId="0" fontId="10" fillId="8" borderId="0" xfId="0" applyFont="1" applyFill="1" applyAlignment="1">
      <alignment vertical="center" wrapText="1"/>
    </xf>
    <xf numFmtId="168" fontId="0" fillId="0" borderId="19" xfId="2" applyNumberFormat="1" applyFont="1" applyBorder="1" applyAlignment="1">
      <alignment horizontal="left" vertical="center" wrapText="1"/>
    </xf>
    <xf numFmtId="168" fontId="0" fillId="9" borderId="19" xfId="2" applyNumberFormat="1" applyFont="1" applyFill="1" applyBorder="1" applyAlignment="1">
      <alignment horizontal="left" vertical="center" wrapText="1"/>
    </xf>
    <xf numFmtId="167" fontId="0" fillId="9" borderId="19" xfId="1" applyNumberFormat="1" applyFont="1" applyFill="1" applyBorder="1" applyAlignment="1">
      <alignment vertical="center" wrapText="1"/>
    </xf>
    <xf numFmtId="168" fontId="0" fillId="0" borderId="19" xfId="2" applyNumberFormat="1" applyFont="1" applyFill="1" applyBorder="1" applyAlignment="1">
      <alignment horizontal="left" vertical="center" wrapText="1"/>
    </xf>
    <xf numFmtId="168" fontId="13" fillId="0" borderId="19" xfId="2" applyNumberFormat="1" applyFont="1" applyFill="1" applyBorder="1" applyAlignment="1">
      <alignment horizontal="left" vertical="center" wrapText="1"/>
    </xf>
    <xf numFmtId="9" fontId="0" fillId="9" borderId="19" xfId="3" applyFont="1" applyFill="1" applyBorder="1" applyAlignment="1">
      <alignment horizontal="left" vertical="center" wrapText="1"/>
    </xf>
    <xf numFmtId="168" fontId="0" fillId="9" borderId="19" xfId="2" applyNumberFormat="1" applyFont="1" applyFill="1" applyBorder="1" applyAlignment="1">
      <alignment vertical="center" wrapText="1"/>
    </xf>
    <xf numFmtId="168" fontId="13" fillId="0" borderId="19" xfId="2" applyNumberFormat="1" applyFont="1" applyBorder="1" applyAlignment="1">
      <alignment horizontal="left" vertical="center" wrapText="1"/>
    </xf>
    <xf numFmtId="168" fontId="0" fillId="2" borderId="19" xfId="2" applyNumberFormat="1" applyFont="1" applyFill="1" applyBorder="1" applyAlignment="1">
      <alignment horizontal="left" vertical="center" wrapText="1"/>
    </xf>
    <xf numFmtId="167" fontId="0" fillId="2" borderId="19" xfId="1" applyNumberFormat="1" applyFont="1" applyFill="1" applyBorder="1" applyAlignment="1">
      <alignment vertical="center" wrapText="1"/>
    </xf>
    <xf numFmtId="168" fontId="13" fillId="2" borderId="19" xfId="2" applyNumberFormat="1" applyFont="1" applyFill="1" applyBorder="1" applyAlignment="1">
      <alignment horizontal="left" vertical="center" wrapText="1"/>
    </xf>
    <xf numFmtId="167" fontId="0" fillId="0" borderId="19" xfId="1" applyNumberFormat="1" applyFont="1" applyFill="1" applyBorder="1" applyAlignment="1">
      <alignment vertical="center" wrapText="1"/>
    </xf>
    <xf numFmtId="167" fontId="0" fillId="0" borderId="19" xfId="1" applyNumberFormat="1" applyFont="1" applyBorder="1" applyAlignment="1">
      <alignment vertical="center" wrapText="1"/>
    </xf>
    <xf numFmtId="164" fontId="0" fillId="2" borderId="19" xfId="2" applyFont="1" applyFill="1" applyBorder="1" applyAlignment="1">
      <alignment vertical="center" wrapText="1"/>
    </xf>
    <xf numFmtId="164" fontId="0" fillId="0" borderId="19" xfId="2" applyFont="1" applyBorder="1" applyAlignment="1">
      <alignment horizontal="right" vertical="center" wrapText="1"/>
    </xf>
    <xf numFmtId="164" fontId="0" fillId="0" borderId="19" xfId="2" applyFont="1" applyBorder="1" applyAlignment="1">
      <alignment vertical="center" wrapText="1"/>
    </xf>
    <xf numFmtId="164" fontId="0" fillId="0" borderId="19" xfId="2" applyFont="1" applyFill="1" applyBorder="1" applyAlignment="1">
      <alignment vertical="center" wrapText="1"/>
    </xf>
    <xf numFmtId="168" fontId="0" fillId="8" borderId="19" xfId="2" applyNumberFormat="1" applyFont="1" applyFill="1" applyBorder="1" applyAlignment="1">
      <alignment horizontal="left" vertical="center" wrapText="1"/>
    </xf>
    <xf numFmtId="0" fontId="0" fillId="2" borderId="21" xfId="0" applyFill="1" applyBorder="1" applyAlignment="1">
      <alignment vertical="center" wrapText="1"/>
    </xf>
    <xf numFmtId="0" fontId="0" fillId="2" borderId="21" xfId="0" applyFill="1" applyBorder="1" applyAlignment="1">
      <alignment horizontal="right" vertical="center"/>
    </xf>
    <xf numFmtId="0" fontId="0" fillId="0" borderId="22" xfId="0" applyBorder="1" applyAlignment="1">
      <alignment vertical="center"/>
    </xf>
    <xf numFmtId="169" fontId="0" fillId="9" borderId="22" xfId="1" applyNumberFormat="1" applyFont="1" applyFill="1" applyBorder="1" applyAlignment="1">
      <alignment horizontal="right" vertical="center"/>
    </xf>
    <xf numFmtId="169" fontId="0" fillId="2" borderId="22" xfId="1" applyNumberFormat="1" applyFont="1" applyFill="1" applyBorder="1" applyAlignment="1">
      <alignment horizontal="right" vertical="center"/>
    </xf>
    <xf numFmtId="169" fontId="0" fillId="0" borderId="22" xfId="1" applyNumberFormat="1" applyFont="1" applyBorder="1" applyAlignment="1">
      <alignment horizontal="right" vertical="center"/>
    </xf>
    <xf numFmtId="167" fontId="0" fillId="0" borderId="22" xfId="1" applyNumberFormat="1" applyFont="1" applyFill="1" applyBorder="1" applyAlignment="1">
      <alignment horizontal="right" vertical="center"/>
    </xf>
    <xf numFmtId="169" fontId="0" fillId="2" borderId="22" xfId="1" applyNumberFormat="1" applyFont="1" applyFill="1" applyBorder="1" applyAlignment="1">
      <alignment vertical="center"/>
    </xf>
    <xf numFmtId="169" fontId="0" fillId="0" borderId="22" xfId="1" applyNumberFormat="1" applyFont="1" applyBorder="1" applyAlignment="1">
      <alignment vertical="center"/>
    </xf>
    <xf numFmtId="0" fontId="0" fillId="2" borderId="22" xfId="0" applyFill="1" applyBorder="1" applyAlignment="1">
      <alignment vertical="center"/>
    </xf>
    <xf numFmtId="0" fontId="0" fillId="0" borderId="22" xfId="0" applyBorder="1" applyAlignment="1">
      <alignment vertical="center" wrapText="1"/>
    </xf>
    <xf numFmtId="165" fontId="0" fillId="2" borderId="19" xfId="1" applyFont="1" applyFill="1" applyBorder="1" applyAlignment="1">
      <alignment wrapText="1"/>
    </xf>
    <xf numFmtId="165" fontId="0" fillId="0" borderId="19" xfId="1" applyFont="1" applyBorder="1"/>
    <xf numFmtId="165" fontId="5" fillId="0" borderId="19" xfId="1" applyFont="1" applyBorder="1"/>
    <xf numFmtId="0" fontId="0" fillId="0" borderId="19" xfId="0" applyBorder="1"/>
    <xf numFmtId="9" fontId="5" fillId="0" borderId="19" xfId="3" applyFont="1" applyBorder="1"/>
    <xf numFmtId="2" fontId="5" fillId="0" borderId="19" xfId="1" applyNumberFormat="1" applyFont="1" applyBorder="1"/>
    <xf numFmtId="165" fontId="0" fillId="2" borderId="19" xfId="1" applyFont="1" applyFill="1" applyBorder="1"/>
    <xf numFmtId="170" fontId="0" fillId="9" borderId="19" xfId="0" applyNumberFormat="1" applyFill="1" applyBorder="1" applyAlignment="1">
      <alignment horizontal="right" vertical="center" wrapText="1"/>
    </xf>
    <xf numFmtId="9" fontId="0" fillId="9" borderId="19" xfId="3" applyFont="1" applyFill="1" applyBorder="1" applyAlignment="1">
      <alignment horizontal="right" vertical="center" wrapText="1"/>
    </xf>
    <xf numFmtId="165" fontId="0" fillId="9" borderId="19" xfId="1" applyFont="1" applyFill="1" applyBorder="1" applyAlignment="1">
      <alignment wrapText="1"/>
    </xf>
    <xf numFmtId="167" fontId="5" fillId="0" borderId="19" xfId="1" applyNumberFormat="1" applyFont="1" applyFill="1" applyBorder="1" applyAlignment="1">
      <alignment wrapText="1"/>
    </xf>
    <xf numFmtId="166" fontId="0" fillId="0" borderId="19" xfId="0" applyNumberFormat="1" applyBorder="1" applyAlignment="1">
      <alignment wrapText="1"/>
    </xf>
    <xf numFmtId="170" fontId="0" fillId="0" borderId="19" xfId="0" applyNumberFormat="1" applyBorder="1" applyAlignment="1">
      <alignment wrapText="1"/>
    </xf>
    <xf numFmtId="9" fontId="0" fillId="0" borderId="19" xfId="3" applyFont="1" applyBorder="1" applyAlignment="1">
      <alignment wrapText="1"/>
    </xf>
    <xf numFmtId="168" fontId="0" fillId="9" borderId="19" xfId="2" applyNumberFormat="1" applyFont="1" applyFill="1" applyBorder="1" applyAlignment="1">
      <alignment wrapText="1"/>
    </xf>
    <xf numFmtId="168" fontId="0" fillId="0" borderId="19" xfId="0" applyNumberFormat="1" applyBorder="1" applyAlignment="1">
      <alignment wrapText="1"/>
    </xf>
    <xf numFmtId="169" fontId="0" fillId="9" borderId="19" xfId="1" applyNumberFormat="1" applyFont="1" applyFill="1" applyBorder="1" applyAlignment="1">
      <alignment wrapText="1"/>
    </xf>
    <xf numFmtId="169" fontId="5" fillId="0" borderId="19" xfId="1" applyNumberFormat="1" applyFont="1" applyFill="1" applyBorder="1" applyAlignment="1">
      <alignment wrapText="1"/>
    </xf>
    <xf numFmtId="9" fontId="5" fillId="0" borderId="19" xfId="3" applyFont="1" applyFill="1" applyBorder="1" applyAlignment="1">
      <alignment wrapText="1"/>
    </xf>
    <xf numFmtId="165" fontId="5" fillId="0" borderId="19" xfId="1" applyFont="1" applyFill="1" applyBorder="1" applyAlignment="1">
      <alignment wrapText="1"/>
    </xf>
    <xf numFmtId="168" fontId="5" fillId="0" borderId="19" xfId="2" applyNumberFormat="1" applyFont="1" applyFill="1" applyBorder="1" applyAlignment="1">
      <alignment wrapText="1"/>
    </xf>
    <xf numFmtId="9" fontId="0" fillId="9" borderId="19" xfId="3" applyFont="1" applyFill="1" applyBorder="1" applyAlignment="1">
      <alignment wrapText="1"/>
    </xf>
    <xf numFmtId="168" fontId="0" fillId="9" borderId="19" xfId="1" applyNumberFormat="1" applyFont="1" applyFill="1" applyBorder="1" applyAlignment="1">
      <alignment wrapText="1"/>
    </xf>
    <xf numFmtId="1" fontId="0" fillId="0" borderId="19" xfId="1" applyNumberFormat="1" applyFont="1" applyBorder="1" applyAlignment="1">
      <alignment wrapText="1"/>
    </xf>
    <xf numFmtId="170" fontId="0" fillId="2" borderId="19" xfId="0" applyNumberFormat="1" applyFill="1" applyBorder="1" applyAlignment="1">
      <alignment horizontal="right" vertical="center" wrapText="1"/>
    </xf>
    <xf numFmtId="9" fontId="0" fillId="2" borderId="19" xfId="3" applyFont="1" applyFill="1" applyBorder="1" applyAlignment="1">
      <alignment horizontal="right" vertical="center" wrapText="1"/>
    </xf>
    <xf numFmtId="167" fontId="5" fillId="2" borderId="19" xfId="1" applyNumberFormat="1" applyFont="1" applyFill="1" applyBorder="1"/>
    <xf numFmtId="0" fontId="0" fillId="2" borderId="19" xfId="0" applyFill="1" applyBorder="1"/>
    <xf numFmtId="171" fontId="0" fillId="2" borderId="19" xfId="0" applyNumberFormat="1" applyFill="1" applyBorder="1"/>
    <xf numFmtId="166" fontId="0" fillId="2" borderId="19" xfId="0" applyNumberFormat="1" applyFill="1" applyBorder="1"/>
    <xf numFmtId="170" fontId="0" fillId="2" borderId="19" xfId="0" applyNumberFormat="1" applyFill="1" applyBorder="1"/>
    <xf numFmtId="9" fontId="0" fillId="2" borderId="19" xfId="3" applyFont="1" applyFill="1" applyBorder="1"/>
    <xf numFmtId="168" fontId="0" fillId="2" borderId="19" xfId="2" applyNumberFormat="1" applyFont="1" applyFill="1" applyBorder="1"/>
    <xf numFmtId="168" fontId="0" fillId="2" borderId="19" xfId="0" applyNumberFormat="1" applyFill="1" applyBorder="1"/>
    <xf numFmtId="169" fontId="0" fillId="2" borderId="19" xfId="1" applyNumberFormat="1" applyFont="1" applyFill="1" applyBorder="1"/>
    <xf numFmtId="169" fontId="5" fillId="2" borderId="19" xfId="1" applyNumberFormat="1" applyFont="1" applyFill="1" applyBorder="1"/>
    <xf numFmtId="9" fontId="5" fillId="2" borderId="19" xfId="3" applyFont="1" applyFill="1" applyBorder="1"/>
    <xf numFmtId="165" fontId="5" fillId="2" borderId="19" xfId="1" applyFont="1" applyFill="1" applyBorder="1"/>
    <xf numFmtId="167" fontId="0" fillId="2" borderId="19" xfId="1" applyNumberFormat="1" applyFont="1" applyFill="1" applyBorder="1"/>
    <xf numFmtId="168" fontId="5" fillId="2" borderId="19" xfId="2" applyNumberFormat="1" applyFont="1" applyFill="1" applyBorder="1"/>
    <xf numFmtId="168" fontId="0" fillId="2" borderId="19" xfId="1" applyNumberFormat="1" applyFont="1" applyFill="1" applyBorder="1"/>
    <xf numFmtId="1" fontId="0" fillId="2" borderId="19" xfId="1" applyNumberFormat="1" applyFont="1" applyFill="1" applyBorder="1"/>
    <xf numFmtId="170" fontId="0" fillId="0" borderId="19" xfId="0" applyNumberFormat="1" applyBorder="1" applyAlignment="1">
      <alignment horizontal="right" vertical="center" wrapText="1"/>
    </xf>
    <xf numFmtId="9" fontId="0" fillId="0" borderId="19" xfId="3" applyFont="1" applyBorder="1" applyAlignment="1">
      <alignment horizontal="right" vertical="center" wrapText="1"/>
    </xf>
    <xf numFmtId="167" fontId="5" fillId="0" borderId="19" xfId="1" applyNumberFormat="1" applyFont="1" applyBorder="1"/>
    <xf numFmtId="171" fontId="0" fillId="0" borderId="19" xfId="0" applyNumberFormat="1" applyBorder="1"/>
    <xf numFmtId="166" fontId="0" fillId="0" borderId="19" xfId="0" applyNumberFormat="1" applyBorder="1"/>
    <xf numFmtId="170" fontId="0" fillId="0" borderId="19" xfId="0" applyNumberFormat="1" applyBorder="1"/>
    <xf numFmtId="9" fontId="0" fillId="0" borderId="19" xfId="3" applyFont="1" applyBorder="1"/>
    <xf numFmtId="168" fontId="0" fillId="0" borderId="19" xfId="2" applyNumberFormat="1" applyFont="1" applyBorder="1"/>
    <xf numFmtId="168" fontId="0" fillId="0" borderId="19" xfId="0" applyNumberFormat="1" applyBorder="1"/>
    <xf numFmtId="169" fontId="0" fillId="0" borderId="19" xfId="1" applyNumberFormat="1" applyFont="1" applyBorder="1"/>
    <xf numFmtId="169" fontId="5" fillId="0" borderId="19" xfId="1" applyNumberFormat="1" applyFont="1" applyBorder="1"/>
    <xf numFmtId="168" fontId="5" fillId="0" borderId="19" xfId="2" applyNumberFormat="1" applyFont="1" applyBorder="1"/>
    <xf numFmtId="168" fontId="0" fillId="0" borderId="19" xfId="1" applyNumberFormat="1" applyFont="1" applyBorder="1"/>
    <xf numFmtId="1" fontId="0" fillId="0" borderId="19" xfId="1" applyNumberFormat="1" applyFont="1" applyBorder="1"/>
    <xf numFmtId="165" fontId="0" fillId="9" borderId="19" xfId="1" applyFont="1" applyFill="1" applyBorder="1"/>
    <xf numFmtId="0" fontId="0" fillId="9" borderId="19" xfId="0" applyFill="1" applyBorder="1"/>
    <xf numFmtId="168" fontId="0" fillId="9" borderId="19" xfId="2" applyNumberFormat="1" applyFont="1" applyFill="1" applyBorder="1"/>
    <xf numFmtId="169" fontId="0" fillId="9" borderId="19" xfId="1" applyNumberFormat="1" applyFont="1" applyFill="1" applyBorder="1"/>
    <xf numFmtId="169" fontId="0" fillId="6" borderId="19" xfId="1" applyNumberFormat="1" applyFont="1" applyFill="1" applyBorder="1"/>
    <xf numFmtId="9" fontId="0" fillId="9" borderId="19" xfId="3" applyFont="1" applyFill="1" applyBorder="1"/>
    <xf numFmtId="168" fontId="0" fillId="9" borderId="19" xfId="1" applyNumberFormat="1" applyFont="1" applyFill="1" applyBorder="1"/>
    <xf numFmtId="167" fontId="5" fillId="0" borderId="19" xfId="1" applyNumberFormat="1" applyFont="1" applyFill="1" applyBorder="1"/>
    <xf numFmtId="169" fontId="5" fillId="0" borderId="19" xfId="1" applyNumberFormat="1" applyFont="1" applyFill="1" applyBorder="1"/>
    <xf numFmtId="9" fontId="5" fillId="0" borderId="19" xfId="3" applyFont="1" applyFill="1" applyBorder="1"/>
    <xf numFmtId="165" fontId="5" fillId="0" borderId="19" xfId="1" applyFont="1" applyFill="1" applyBorder="1"/>
    <xf numFmtId="168" fontId="5" fillId="0" borderId="19" xfId="2" applyNumberFormat="1" applyFont="1" applyFill="1" applyBorder="1"/>
    <xf numFmtId="165" fontId="8" fillId="9" borderId="19" xfId="1" applyFont="1" applyFill="1" applyBorder="1" applyAlignment="1">
      <alignment wrapText="1"/>
    </xf>
    <xf numFmtId="168" fontId="8" fillId="9" borderId="19" xfId="2" applyNumberFormat="1" applyFont="1" applyFill="1" applyBorder="1" applyAlignment="1">
      <alignment wrapText="1"/>
    </xf>
    <xf numFmtId="169" fontId="8" fillId="9" borderId="19" xfId="1" applyNumberFormat="1" applyFont="1" applyFill="1" applyBorder="1" applyAlignment="1">
      <alignment wrapText="1"/>
    </xf>
    <xf numFmtId="9" fontId="8" fillId="9" borderId="19" xfId="3" applyFont="1" applyFill="1" applyBorder="1" applyAlignment="1">
      <alignment wrapText="1"/>
    </xf>
    <xf numFmtId="168" fontId="8" fillId="9" borderId="19" xfId="1" applyNumberFormat="1" applyFont="1" applyFill="1" applyBorder="1" applyAlignment="1">
      <alignment wrapText="1"/>
    </xf>
    <xf numFmtId="165" fontId="0" fillId="9" borderId="19" xfId="0" applyNumberFormat="1" applyFill="1" applyBorder="1"/>
    <xf numFmtId="0" fontId="11" fillId="9" borderId="19" xfId="0" applyFont="1" applyFill="1" applyBorder="1"/>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165" fontId="2" fillId="2" borderId="29" xfId="1" applyFont="1" applyFill="1" applyBorder="1" applyAlignment="1">
      <alignment horizontal="center" vertical="center" wrapText="1"/>
    </xf>
    <xf numFmtId="0" fontId="2" fillId="2" borderId="30" xfId="0" applyFont="1" applyFill="1" applyBorder="1" applyAlignment="1">
      <alignment horizontal="center" vertical="center" wrapText="1"/>
    </xf>
    <xf numFmtId="165" fontId="2" fillId="2" borderId="27" xfId="1" applyFont="1" applyFill="1" applyBorder="1" applyAlignment="1">
      <alignment horizontal="center" vertical="center" wrapText="1"/>
    </xf>
    <xf numFmtId="165" fontId="2" fillId="2" borderId="25" xfId="1" applyFont="1" applyFill="1" applyBorder="1" applyAlignment="1">
      <alignment horizontal="center" vertical="center" wrapText="1"/>
    </xf>
    <xf numFmtId="165" fontId="0" fillId="2" borderId="20" xfId="1" applyFont="1" applyFill="1" applyBorder="1" applyAlignment="1">
      <alignment wrapText="1"/>
    </xf>
    <xf numFmtId="165" fontId="0" fillId="2" borderId="27" xfId="1" applyFont="1" applyFill="1" applyBorder="1" applyAlignment="1">
      <alignment wrapText="1"/>
    </xf>
    <xf numFmtId="168" fontId="2" fillId="2" borderId="27" xfId="2" applyNumberFormat="1" applyFont="1" applyFill="1" applyBorder="1" applyAlignment="1">
      <alignment horizontal="center" vertical="center" wrapText="1"/>
    </xf>
    <xf numFmtId="9" fontId="2" fillId="2" borderId="28" xfId="3" applyFont="1" applyFill="1" applyBorder="1" applyAlignment="1">
      <alignment horizontal="center" vertical="center" wrapText="1"/>
    </xf>
    <xf numFmtId="0" fontId="2" fillId="2" borderId="33" xfId="0" applyFont="1" applyFill="1" applyBorder="1" applyAlignment="1">
      <alignment horizontal="center" vertical="center" wrapText="1"/>
    </xf>
    <xf numFmtId="165" fontId="0" fillId="2" borderId="19" xfId="1" applyFont="1" applyFill="1" applyBorder="1" applyAlignment="1"/>
    <xf numFmtId="165" fontId="0" fillId="0" borderId="19" xfId="1" applyFont="1" applyBorder="1" applyAlignment="1"/>
    <xf numFmtId="165" fontId="0" fillId="9" borderId="19" xfId="1" applyFont="1" applyFill="1" applyBorder="1" applyAlignment="1"/>
    <xf numFmtId="165" fontId="2" fillId="2" borderId="27" xfId="1" applyFont="1" applyFill="1" applyBorder="1" applyAlignment="1">
      <alignment horizontal="center" vertical="center"/>
    </xf>
    <xf numFmtId="0" fontId="2" fillId="2" borderId="28" xfId="0" applyFont="1" applyFill="1" applyBorder="1" applyAlignment="1">
      <alignment horizontal="center" vertical="center"/>
    </xf>
    <xf numFmtId="165" fontId="8" fillId="9" borderId="19" xfId="1" applyFont="1" applyFill="1" applyBorder="1" applyAlignment="1"/>
    <xf numFmtId="165" fontId="0" fillId="0" borderId="0" xfId="1" applyFont="1" applyAlignment="1"/>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 fontId="0" fillId="0" borderId="19" xfId="0" applyNumberFormat="1" applyBorder="1" applyAlignment="1">
      <alignment wrapText="1"/>
    </xf>
    <xf numFmtId="1" fontId="0" fillId="2" borderId="19" xfId="0" applyNumberFormat="1" applyFill="1" applyBorder="1"/>
    <xf numFmtId="1" fontId="0" fillId="0" borderId="19" xfId="0" applyNumberFormat="1" applyBorder="1"/>
    <xf numFmtId="166" fontId="0" fillId="2" borderId="19" xfId="1" applyNumberFormat="1" applyFont="1" applyFill="1" applyBorder="1"/>
    <xf numFmtId="166" fontId="0" fillId="2" borderId="19" xfId="1" applyNumberFormat="1" applyFont="1" applyFill="1" applyBorder="1" applyAlignment="1">
      <alignment wrapText="1"/>
    </xf>
    <xf numFmtId="2" fontId="0" fillId="9" borderId="19" xfId="3" applyNumberFormat="1" applyFont="1" applyFill="1" applyBorder="1" applyAlignment="1">
      <alignment horizontal="right" vertical="center" wrapText="1"/>
    </xf>
    <xf numFmtId="2" fontId="0" fillId="2" borderId="19" xfId="3" applyNumberFormat="1" applyFont="1" applyFill="1" applyBorder="1" applyAlignment="1">
      <alignment horizontal="right" vertical="center" wrapText="1"/>
    </xf>
    <xf numFmtId="2" fontId="0" fillId="0" borderId="19" xfId="3" applyNumberFormat="1" applyFont="1" applyBorder="1" applyAlignment="1">
      <alignment horizontal="right" vertical="center" wrapText="1"/>
    </xf>
    <xf numFmtId="1" fontId="0" fillId="9" borderId="1" xfId="3" applyNumberFormat="1" applyFont="1" applyFill="1" applyBorder="1" applyAlignment="1">
      <alignment vertical="center"/>
    </xf>
    <xf numFmtId="10" fontId="0" fillId="0" borderId="2" xfId="3" applyNumberFormat="1" applyFont="1" applyFill="1" applyBorder="1" applyAlignment="1">
      <alignment vertical="center"/>
    </xf>
    <xf numFmtId="1" fontId="0" fillId="9" borderId="3" xfId="3" applyNumberFormat="1" applyFont="1" applyFill="1" applyBorder="1" applyAlignment="1">
      <alignment vertical="center"/>
    </xf>
    <xf numFmtId="10" fontId="0" fillId="0" borderId="4" xfId="3" applyNumberFormat="1" applyFont="1" applyFill="1" applyBorder="1" applyAlignment="1">
      <alignment vertical="center"/>
    </xf>
    <xf numFmtId="1" fontId="0" fillId="9" borderId="2" xfId="3" applyNumberFormat="1" applyFont="1" applyFill="1" applyBorder="1" applyAlignment="1">
      <alignment vertical="center"/>
    </xf>
    <xf numFmtId="1" fontId="0" fillId="9" borderId="12" xfId="3" applyNumberFormat="1" applyFont="1" applyFill="1" applyBorder="1" applyAlignment="1">
      <alignment vertical="center"/>
    </xf>
    <xf numFmtId="1" fontId="0" fillId="0" borderId="4" xfId="3" applyNumberFormat="1" applyFont="1" applyFill="1" applyBorder="1" applyAlignment="1">
      <alignment vertical="center"/>
    </xf>
    <xf numFmtId="172" fontId="0" fillId="0" borderId="0" xfId="2" applyNumberFormat="1" applyFont="1" applyAlignment="1">
      <alignment vertical="center" wrapText="1"/>
    </xf>
    <xf numFmtId="0" fontId="0" fillId="11" borderId="1" xfId="0" applyFill="1" applyBorder="1" applyAlignment="1">
      <alignment horizontal="left" vertical="center"/>
    </xf>
    <xf numFmtId="164" fontId="0" fillId="9" borderId="1" xfId="2" applyFont="1" applyFill="1" applyBorder="1" applyAlignment="1">
      <alignment vertical="center"/>
    </xf>
    <xf numFmtId="2" fontId="0" fillId="9" borderId="1" xfId="3" applyNumberFormat="1" applyFont="1" applyFill="1" applyBorder="1" applyAlignment="1">
      <alignment vertical="center"/>
    </xf>
    <xf numFmtId="172" fontId="0" fillId="0" borderId="1" xfId="2" applyNumberFormat="1" applyFont="1" applyBorder="1" applyAlignment="1">
      <alignment vertical="center"/>
    </xf>
    <xf numFmtId="0" fontId="0" fillId="11" borderId="3" xfId="0" applyFill="1" applyBorder="1" applyAlignment="1">
      <alignment horizontal="left" vertical="center"/>
    </xf>
    <xf numFmtId="164" fontId="0" fillId="9" borderId="3" xfId="2" applyFont="1" applyFill="1" applyBorder="1" applyAlignment="1">
      <alignment vertical="center"/>
    </xf>
    <xf numFmtId="172" fontId="0" fillId="0" borderId="3" xfId="2" applyNumberFormat="1" applyFont="1" applyBorder="1" applyAlignment="1">
      <alignment vertical="center"/>
    </xf>
    <xf numFmtId="0" fontId="0" fillId="11" borderId="35" xfId="0" applyFill="1" applyBorder="1" applyAlignment="1">
      <alignment vertical="center"/>
    </xf>
    <xf numFmtId="0" fontId="0" fillId="11" borderId="36" xfId="0" applyFill="1" applyBorder="1" applyAlignment="1">
      <alignment vertical="center"/>
    </xf>
    <xf numFmtId="9" fontId="0" fillId="0" borderId="19" xfId="3" applyFont="1" applyFill="1" applyBorder="1" applyAlignment="1">
      <alignment horizontal="right" vertical="center" wrapText="1"/>
    </xf>
    <xf numFmtId="0" fontId="10" fillId="0" borderId="0" xfId="0" applyFont="1" applyAlignment="1">
      <alignment horizontal="left" vertical="center"/>
    </xf>
    <xf numFmtId="173" fontId="0" fillId="9" borderId="19" xfId="0" applyNumberFormat="1" applyFill="1" applyBorder="1" applyAlignment="1">
      <alignment horizontal="right" vertical="center" wrapText="1"/>
    </xf>
    <xf numFmtId="2" fontId="0" fillId="0" borderId="19" xfId="3" applyNumberFormat="1" applyFont="1" applyFill="1" applyBorder="1" applyAlignment="1">
      <alignment horizontal="right" vertical="center" wrapText="1"/>
    </xf>
    <xf numFmtId="0" fontId="10" fillId="0" borderId="0" xfId="0" applyFont="1" applyAlignment="1">
      <alignment vertical="center" wrapText="1"/>
    </xf>
    <xf numFmtId="164" fontId="2" fillId="0" borderId="19" xfId="2" applyFont="1" applyFill="1" applyBorder="1" applyAlignment="1">
      <alignment vertical="center" wrapText="1"/>
    </xf>
    <xf numFmtId="164" fontId="2" fillId="2" borderId="19" xfId="2" applyFont="1" applyFill="1" applyBorder="1" applyAlignment="1">
      <alignment vertical="center" wrapText="1"/>
    </xf>
    <xf numFmtId="164" fontId="2" fillId="0" borderId="19" xfId="2" applyFont="1" applyBorder="1" applyAlignment="1">
      <alignment vertical="center" wrapText="1"/>
    </xf>
    <xf numFmtId="9" fontId="0" fillId="9" borderId="19" xfId="3" applyFont="1" applyFill="1" applyBorder="1" applyAlignment="1">
      <alignment vertical="center" wrapText="1"/>
    </xf>
    <xf numFmtId="167" fontId="0" fillId="6" borderId="19" xfId="1" applyNumberFormat="1" applyFont="1" applyFill="1" applyBorder="1" applyAlignment="1">
      <alignment vertical="center" wrapText="1"/>
    </xf>
    <xf numFmtId="9" fontId="0" fillId="2" borderId="19" xfId="3" applyFont="1" applyFill="1" applyBorder="1" applyAlignment="1">
      <alignment vertical="center" wrapText="1"/>
    </xf>
    <xf numFmtId="9" fontId="0" fillId="0" borderId="19" xfId="3" applyFont="1" applyFill="1" applyBorder="1" applyAlignment="1">
      <alignment vertical="center" wrapText="1"/>
    </xf>
    <xf numFmtId="0" fontId="0" fillId="6" borderId="1" xfId="0" applyFill="1" applyBorder="1" applyAlignment="1">
      <alignment horizontal="left" vertical="center" wrapText="1"/>
    </xf>
    <xf numFmtId="172" fontId="0" fillId="0" borderId="2" xfId="2" applyNumberFormat="1" applyFont="1" applyBorder="1" applyAlignment="1">
      <alignment vertical="center"/>
    </xf>
    <xf numFmtId="172" fontId="0" fillId="0" borderId="4" xfId="2" applyNumberFormat="1" applyFont="1" applyBorder="1" applyAlignment="1">
      <alignment vertical="center"/>
    </xf>
    <xf numFmtId="0" fontId="10" fillId="0" borderId="0" xfId="0" applyFont="1" applyAlignment="1">
      <alignment vertical="center"/>
    </xf>
    <xf numFmtId="0" fontId="0" fillId="11" borderId="16" xfId="0" applyFill="1" applyBorder="1" applyAlignment="1">
      <alignment horizontal="center" vertical="center" wrapText="1"/>
    </xf>
    <xf numFmtId="0" fontId="0" fillId="11" borderId="10" xfId="0" applyFill="1" applyBorder="1" applyAlignment="1">
      <alignment horizontal="center" vertical="center" wrapText="1"/>
    </xf>
    <xf numFmtId="168" fontId="2" fillId="0" borderId="19" xfId="2" applyNumberFormat="1" applyFont="1" applyBorder="1" applyAlignment="1">
      <alignment horizontal="left" vertical="center" wrapText="1"/>
    </xf>
    <xf numFmtId="168" fontId="2" fillId="2" borderId="19" xfId="2" applyNumberFormat="1" applyFont="1" applyFill="1" applyBorder="1" applyAlignment="1">
      <alignment horizontal="left" vertical="center" wrapText="1"/>
    </xf>
    <xf numFmtId="0" fontId="0" fillId="9" borderId="10" xfId="0" applyFill="1" applyBorder="1" applyAlignment="1">
      <alignment horizontal="left" vertical="center"/>
    </xf>
    <xf numFmtId="0" fontId="1" fillId="0" borderId="0" xfId="0" applyFont="1"/>
    <xf numFmtId="0" fontId="19" fillId="13" borderId="1" xfId="0" applyFont="1" applyFill="1" applyBorder="1" applyAlignment="1">
      <alignment horizontal="center" vertical="center"/>
    </xf>
    <xf numFmtId="0" fontId="19" fillId="13" borderId="1" xfId="0" applyFont="1" applyFill="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0" fillId="0" borderId="42" xfId="0" applyBorder="1"/>
    <xf numFmtId="14" fontId="0" fillId="0" borderId="42" xfId="0" applyNumberFormat="1" applyBorder="1" applyAlignment="1">
      <alignment wrapText="1"/>
    </xf>
    <xf numFmtId="0" fontId="20" fillId="0" borderId="0" xfId="0" applyFont="1" applyAlignment="1">
      <alignment horizontal="right" vertical="center"/>
    </xf>
    <xf numFmtId="0" fontId="8" fillId="0" borderId="0" xfId="0" applyFont="1"/>
    <xf numFmtId="0" fontId="2" fillId="0" borderId="0" xfId="0" applyFont="1"/>
    <xf numFmtId="0" fontId="0" fillId="0" borderId="0" xfId="0" applyAlignment="1">
      <alignment vertical="center"/>
    </xf>
    <xf numFmtId="0" fontId="0" fillId="0" borderId="0" xfId="0" applyAlignment="1">
      <alignment horizontal="center"/>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34" xfId="0" applyFont="1" applyFill="1" applyBorder="1" applyAlignment="1">
      <alignment horizontal="center" vertical="center"/>
    </xf>
    <xf numFmtId="0" fontId="2" fillId="10" borderId="11" xfId="0" applyFont="1" applyFill="1" applyBorder="1" applyAlignment="1">
      <alignment horizontal="center" vertical="center"/>
    </xf>
    <xf numFmtId="0" fontId="0" fillId="0" borderId="1" xfId="0" applyBorder="1" applyAlignment="1">
      <alignment vertical="center" wrapText="1"/>
    </xf>
    <xf numFmtId="0" fontId="2" fillId="10"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0" fillId="0" borderId="13" xfId="0" applyBorder="1" applyAlignment="1">
      <alignment horizontal="left"/>
    </xf>
    <xf numFmtId="0" fontId="0" fillId="0" borderId="17" xfId="0" applyBorder="1" applyAlignment="1">
      <alignment horizontal="left"/>
    </xf>
    <xf numFmtId="0" fontId="0" fillId="0" borderId="14" xfId="0" applyBorder="1" applyAlignment="1">
      <alignment horizontal="left"/>
    </xf>
    <xf numFmtId="0" fontId="1" fillId="0" borderId="13" xfId="0" applyFont="1" applyBorder="1" applyAlignment="1">
      <alignment horizontal="left"/>
    </xf>
    <xf numFmtId="0" fontId="1" fillId="0" borderId="17" xfId="0" applyFont="1" applyBorder="1" applyAlignment="1">
      <alignment horizontal="left"/>
    </xf>
    <xf numFmtId="0" fontId="1" fillId="0" borderId="14" xfId="0" applyFont="1" applyBorder="1" applyAlignment="1">
      <alignment horizontal="left"/>
    </xf>
    <xf numFmtId="0" fontId="19" fillId="14" borderId="40" xfId="0" applyFont="1" applyFill="1" applyBorder="1" applyAlignment="1">
      <alignment horizontal="center" vertical="center" wrapText="1"/>
    </xf>
    <xf numFmtId="0" fontId="19" fillId="14" borderId="41" xfId="0" applyFont="1" applyFill="1" applyBorder="1" applyAlignment="1">
      <alignment horizontal="center" vertical="center" wrapText="1"/>
    </xf>
    <xf numFmtId="0" fontId="19" fillId="14" borderId="42" xfId="0" applyFont="1" applyFill="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9" fillId="15" borderId="40" xfId="0" applyFont="1" applyFill="1" applyBorder="1" applyAlignment="1">
      <alignment horizontal="center" vertical="center" wrapText="1"/>
    </xf>
    <xf numFmtId="0" fontId="19" fillId="15" borderId="41" xfId="0" applyFont="1" applyFill="1" applyBorder="1" applyAlignment="1">
      <alignment horizontal="center" vertical="center" wrapText="1"/>
    </xf>
    <xf numFmtId="0" fontId="19" fillId="15" borderId="42"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9" fillId="16" borderId="42"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10" borderId="5"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0" fillId="0" borderId="0" xfId="0" applyAlignment="1">
      <alignment horizontal="left"/>
    </xf>
    <xf numFmtId="0" fontId="1" fillId="0" borderId="19" xfId="0" applyFont="1" applyBorder="1" applyAlignment="1">
      <alignment horizontal="left"/>
    </xf>
    <xf numFmtId="10" fontId="0" fillId="10" borderId="6" xfId="0" applyNumberFormat="1" applyFill="1" applyBorder="1" applyAlignment="1">
      <alignment horizontal="right" vertical="center"/>
    </xf>
    <xf numFmtId="10" fontId="0" fillId="10" borderId="7" xfId="0" applyNumberFormat="1" applyFill="1" applyBorder="1" applyAlignment="1">
      <alignment horizontal="right" vertical="center"/>
    </xf>
    <xf numFmtId="10" fontId="0" fillId="10" borderId="8" xfId="0" applyNumberFormat="1" applyFill="1" applyBorder="1" applyAlignment="1">
      <alignment horizontal="right" vertical="center"/>
    </xf>
    <xf numFmtId="0" fontId="2" fillId="2" borderId="0" xfId="0" applyFont="1" applyFill="1" applyAlignment="1">
      <alignment horizontal="center" vertical="center" wrapText="1"/>
    </xf>
    <xf numFmtId="0" fontId="2" fillId="2" borderId="3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9" xfId="0" applyFont="1" applyFill="1" applyBorder="1" applyAlignment="1">
      <alignment horizontal="center" vertical="center" wrapText="1"/>
    </xf>
    <xf numFmtId="168" fontId="2" fillId="2" borderId="37" xfId="2" applyNumberFormat="1" applyFont="1" applyFill="1" applyBorder="1" applyAlignment="1">
      <alignment horizontal="center" vertical="center" wrapText="1"/>
    </xf>
    <xf numFmtId="168" fontId="2" fillId="2" borderId="38" xfId="2" applyNumberFormat="1" applyFont="1" applyFill="1" applyBorder="1" applyAlignment="1">
      <alignment horizontal="center" vertical="center" wrapText="1"/>
    </xf>
    <xf numFmtId="168" fontId="2" fillId="2" borderId="39" xfId="2"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0" fillId="0" borderId="0" xfId="0" applyAlignment="1">
      <alignment horizontal="left" vertical="center" wrapText="1"/>
    </xf>
    <xf numFmtId="0" fontId="1" fillId="0" borderId="19" xfId="0" applyFont="1" applyBorder="1" applyAlignment="1">
      <alignment horizontal="left" vertical="center"/>
    </xf>
    <xf numFmtId="0" fontId="2" fillId="5" borderId="43" xfId="0" applyFont="1" applyFill="1" applyBorder="1" applyAlignment="1">
      <alignment horizontal="left"/>
    </xf>
    <xf numFmtId="0" fontId="2" fillId="5" borderId="1" xfId="0" applyFont="1" applyFill="1" applyBorder="1" applyAlignment="1">
      <alignment horizontal="left"/>
    </xf>
    <xf numFmtId="165" fontId="2" fillId="2" borderId="0" xfId="1" applyFont="1" applyFill="1" applyAlignment="1">
      <alignment horizontal="center" vertical="center" wrapText="1"/>
    </xf>
  </cellXfs>
  <cellStyles count="6">
    <cellStyle name="Black" xfId="4" xr:uid="{67CA85DE-B11B-47F5-9E45-733889E802BF}"/>
    <cellStyle name="Comma" xfId="1" builtinId="3"/>
    <cellStyle name="Currency" xfId="2" builtinId="4"/>
    <cellStyle name="Currency 2" xfId="5" xr:uid="{200DCC61-7A7B-4C58-9CBC-1EE5333BA950}"/>
    <cellStyle name="Normal" xfId="0" builtinId="0"/>
    <cellStyle name="Percent" xfId="3" builtinId="5"/>
  </cellStyles>
  <dxfs count="3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E3E5E3"/>
      <color rgb="FFFFFFCC"/>
      <color rgb="FFFFCCCC"/>
      <color rgb="FFFFC1B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50018185929006"/>
          <c:y val="0.11198793211346803"/>
          <c:w val="0.5230887899312211"/>
          <c:h val="0.7455411400977013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8D-446C-A3FD-3EF18DB205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8D-446C-A3FD-3EF18DB205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8D-446C-A3FD-3EF18DB205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8D-446C-A3FD-3EF18DB205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38D-446C-A3FD-3EF18DB205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38D-446C-A3FD-3EF18DB205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38D-446C-A3FD-3EF18DB205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38D-446C-A3FD-3EF18DB205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38D-446C-A3FD-3EF18DB205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38D-446C-A3FD-3EF18DB205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38D-446C-A3FD-3EF18DB205E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38D-446C-A3FD-3EF18DB205E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38D-446C-A3FD-3EF18DB205E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38D-446C-A3FD-3EF18DB205E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38D-446C-A3FD-3EF18DB205E9}"/>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38D-446C-A3FD-3EF18DB205E9}"/>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38D-446C-A3FD-3EF18DB205E9}"/>
              </c:ext>
            </c:extLst>
          </c:dPt>
          <c:dLbls>
            <c:dLbl>
              <c:idx val="0"/>
              <c:layout>
                <c:manualLayout>
                  <c:x val="1.4705882352941176E-2"/>
                  <c:y val="-1.414574198315134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8D-446C-A3FD-3EF18DB205E9}"/>
                </c:ext>
              </c:extLst>
            </c:dLbl>
            <c:dLbl>
              <c:idx val="1"/>
              <c:layout>
                <c:manualLayout>
                  <c:x val="1.5686274509803994E-2"/>
                  <c:y val="-2.829148396630271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8D-446C-A3FD-3EF18DB205E9}"/>
                </c:ext>
              </c:extLst>
            </c:dLbl>
            <c:dLbl>
              <c:idx val="2"/>
              <c:layout>
                <c:manualLayout>
                  <c:x val="2.6470588235294117E-2"/>
                  <c:y val="-1.178811831929278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8D-446C-A3FD-3EF18DB205E9}"/>
                </c:ext>
              </c:extLst>
            </c:dLbl>
            <c:dLbl>
              <c:idx val="3"/>
              <c:layout>
                <c:manualLayout>
                  <c:x val="2.6470588235294117E-2"/>
                  <c:y val="-4.7152473277170719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8D-446C-A3FD-3EF18DB205E9}"/>
                </c:ext>
              </c:extLst>
            </c:dLbl>
            <c:dLbl>
              <c:idx val="4"/>
              <c:layout>
                <c:manualLayout>
                  <c:x val="1.4705882352941176E-2"/>
                  <c:y val="-1.178811831929278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8D-446C-A3FD-3EF18DB205E9}"/>
                </c:ext>
              </c:extLst>
            </c:dLbl>
            <c:dLbl>
              <c:idx val="5"/>
              <c:layout>
                <c:manualLayout>
                  <c:x val="1.9607843137254902E-2"/>
                  <c:y val="-4.715247327717201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8D-446C-A3FD-3EF18DB205E9}"/>
                </c:ext>
              </c:extLst>
            </c:dLbl>
            <c:dLbl>
              <c:idx val="6"/>
              <c:layout>
                <c:manualLayout>
                  <c:x val="1.7647058823529412E-2"/>
                  <c:y val="2.3576236638583846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8D-446C-A3FD-3EF18DB205E9}"/>
                </c:ext>
              </c:extLst>
            </c:dLbl>
            <c:dLbl>
              <c:idx val="7"/>
              <c:layout>
                <c:manualLayout>
                  <c:x val="0"/>
                  <c:y val="3.064910763016124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8D-446C-A3FD-3EF18DB205E9}"/>
                </c:ext>
              </c:extLst>
            </c:dLbl>
            <c:dLbl>
              <c:idx val="8"/>
              <c:layout>
                <c:manualLayout>
                  <c:x val="1.0784313725490196E-2"/>
                  <c:y val="5.422534426874664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8D-446C-A3FD-3EF18DB205E9}"/>
                </c:ext>
              </c:extLst>
            </c:dLbl>
            <c:dLbl>
              <c:idx val="9"/>
              <c:layout>
                <c:manualLayout>
                  <c:x val="-3.8986351783828967E-3"/>
                  <c:y val="1.803884743917018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7.7078717220272555E-2"/>
                      <c:h val="4.3699205296401318E-2"/>
                    </c:manualLayout>
                  </c15:layout>
                </c:ext>
                <c:ext xmlns:c16="http://schemas.microsoft.com/office/drawing/2014/chart" uri="{C3380CC4-5D6E-409C-BE32-E72D297353CC}">
                  <c16:uniqueId val="{00000013-F38D-446C-A3FD-3EF18DB205E9}"/>
                </c:ext>
              </c:extLst>
            </c:dLbl>
            <c:dLbl>
              <c:idx val="10"/>
              <c:layout>
                <c:manualLayout>
                  <c:x val="-3.5947297152056452E-17"/>
                  <c:y val="2.8291483966302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38D-446C-A3FD-3EF18DB205E9}"/>
                </c:ext>
              </c:extLst>
            </c:dLbl>
            <c:dLbl>
              <c:idx val="11"/>
              <c:layout>
                <c:manualLayout>
                  <c:x val="-3.6274509803921572E-2"/>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8D-446C-A3FD-3EF18DB205E9}"/>
                </c:ext>
              </c:extLst>
            </c:dLbl>
            <c:dLbl>
              <c:idx val="12"/>
              <c:layout>
                <c:manualLayout>
                  <c:x val="-3.8235294117647096E-2"/>
                  <c:y val="-7.072870991575758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8D-446C-A3FD-3EF18DB205E9}"/>
                </c:ext>
              </c:extLst>
            </c:dLbl>
            <c:dLbl>
              <c:idx val="13"/>
              <c:layout>
                <c:manualLayout>
                  <c:x val="-2.4509803921568662E-2"/>
                  <c:y val="-1.414574198315134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38D-446C-A3FD-3EF18DB205E9}"/>
                </c:ext>
              </c:extLst>
            </c:dLbl>
            <c:dLbl>
              <c:idx val="14"/>
              <c:layout>
                <c:manualLayout>
                  <c:x val="-2.3529411764705917E-2"/>
                  <c:y val="-2.12186129747270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38D-446C-A3FD-3EF18DB205E9}"/>
                </c:ext>
              </c:extLst>
            </c:dLbl>
            <c:dLbl>
              <c:idx val="15"/>
              <c:layout>
                <c:manualLayout>
                  <c:x val="-1.1764705882352977E-2"/>
                  <c:y val="-4.95100969410297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38D-446C-A3FD-3EF18DB205E9}"/>
                </c:ext>
              </c:extLst>
            </c:dLbl>
            <c:dLbl>
              <c:idx val="16"/>
              <c:layout>
                <c:manualLayout>
                  <c:x val="-1.1764705882352941E-2"/>
                  <c:y val="-3.300673129401980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38D-446C-A3FD-3EF18DB205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('Building Typology'!$A$5:$A$9,'Building Typology'!$A$12:$A$16,'Building Typology'!$A$19:$A$20,'Building Typology'!$A$22,'Building Typology'!$A$26,'Building Typology'!$A$29:$A$31)</c:f>
              <c:strCache>
                <c:ptCount val="17"/>
                <c:pt idx="0">
                  <c:v>Class 'A' - gas boiler</c:v>
                </c:pt>
                <c:pt idx="1">
                  <c:v>Class 'A' - district heating/ cooling</c:v>
                </c:pt>
                <c:pt idx="2">
                  <c:v>Class 'A' - electric</c:v>
                </c:pt>
                <c:pt idx="3">
                  <c:v>Class 'B' &amp; 'C' - rooftop units</c:v>
                </c:pt>
                <c:pt idx="4">
                  <c:v>Class 'B' &amp; 'C' - electric</c:v>
                </c:pt>
                <c:pt idx="5">
                  <c:v>Restaurant - gas MAU + RTU</c:v>
                </c:pt>
                <c:pt idx="6">
                  <c:v>High-rise hotel - gas boiler</c:v>
                </c:pt>
                <c:pt idx="7">
                  <c:v>High-rise hotel - electric</c:v>
                </c:pt>
                <c:pt idx="8">
                  <c:v>Standalone retail</c:v>
                </c:pt>
                <c:pt idx="9">
                  <c:v>Mall retail</c:v>
                </c:pt>
                <c:pt idx="10">
                  <c:v>Pre-2004 apartment - gas boiler</c:v>
                </c:pt>
                <c:pt idx="11">
                  <c:v>Pre-2004 apartment - electric</c:v>
                </c:pt>
                <c:pt idx="12">
                  <c:v>Post-2004 condo</c:v>
                </c:pt>
                <c:pt idx="13">
                  <c:v>Typical house
(Flat Roof)(Ext. Wall Reno)</c:v>
                </c:pt>
                <c:pt idx="14">
                  <c:v>High water use hospital (inpatient)</c:v>
                </c:pt>
                <c:pt idx="15">
                  <c:v>Low water use hospital (outpatient)</c:v>
                </c:pt>
                <c:pt idx="16">
                  <c:v>Assembly &amp; educational</c:v>
                </c:pt>
              </c:strCache>
            </c:strRef>
          </c:cat>
          <c:val>
            <c:numRef>
              <c:f>('Building Typology'!$Q$5:$Q$9,'Building Typology'!$Q$12:$Q$16,'Building Typology'!$Q$19:$Q$20,'Building Typology'!$Q$22,'Building Typology'!$Q$26,'Building Typology'!$Q$29:$Q$31)</c:f>
              <c:numCache>
                <c:formatCode>_-* #,##0_-;\-* #,##0_-;_-* "-"??_-;_-@_-</c:formatCode>
                <c:ptCount val="17"/>
                <c:pt idx="0">
                  <c:v>1026.4522584333906</c:v>
                </c:pt>
                <c:pt idx="1">
                  <c:v>423.96941109205261</c:v>
                </c:pt>
                <c:pt idx="2">
                  <c:v>66.942538593481984</c:v>
                </c:pt>
                <c:pt idx="3">
                  <c:v>533.2922384219554</c:v>
                </c:pt>
                <c:pt idx="4">
                  <c:v>279.34355345911951</c:v>
                </c:pt>
                <c:pt idx="5">
                  <c:v>1271.1600373870599</c:v>
                </c:pt>
                <c:pt idx="6">
                  <c:v>229.14778273964066</c:v>
                </c:pt>
                <c:pt idx="7">
                  <c:v>211.52103022120676</c:v>
                </c:pt>
                <c:pt idx="8">
                  <c:v>331.9140097621767</c:v>
                </c:pt>
                <c:pt idx="9">
                  <c:v>676.25713988991572</c:v>
                </c:pt>
                <c:pt idx="10">
                  <c:v>775.00000000000011</c:v>
                </c:pt>
                <c:pt idx="11">
                  <c:v>100</c:v>
                </c:pt>
                <c:pt idx="12">
                  <c:v>1625</c:v>
                </c:pt>
                <c:pt idx="13">
                  <c:v>510</c:v>
                </c:pt>
                <c:pt idx="14">
                  <c:v>272.46153846153845</c:v>
                </c:pt>
                <c:pt idx="15">
                  <c:v>88.497737556561077</c:v>
                </c:pt>
                <c:pt idx="16">
                  <c:v>1179.0407239819006</c:v>
                </c:pt>
              </c:numCache>
            </c:numRef>
          </c:val>
          <c:extLst>
            <c:ext xmlns:c16="http://schemas.microsoft.com/office/drawing/2014/chart" uri="{C3380CC4-5D6E-409C-BE32-E72D297353CC}">
              <c16:uniqueId val="{00000024-F38D-446C-A3FD-3EF18DB205E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ideWall>
    <c:backWall>
      <c:thickness val="0"/>
    </c:backWall>
    <c:plotArea>
      <c:layout/>
      <c:bar3DChart>
        <c:barDir val="col"/>
        <c:grouping val="clustered"/>
        <c:varyColors val="0"/>
        <c:ser>
          <c:idx val="0"/>
          <c:order val="0"/>
          <c:tx>
            <c:strRef>
              <c:f>'FS - Business Case'!$C$1</c:f>
              <c:strCache>
                <c:ptCount val="1"/>
                <c:pt idx="0">
                  <c:v>LIKE FOR LIKE RETROFIT (Base Case)</c:v>
                </c:pt>
              </c:strCache>
            </c:strRef>
          </c:tx>
          <c:spPr>
            <a:solidFill>
              <a:schemeClr val="accent1"/>
            </a:solidFill>
            <a:ln>
              <a:noFill/>
            </a:ln>
            <a:effectLst/>
            <a:sp3d/>
          </c:spPr>
          <c:invertIfNegative val="0"/>
          <c:cat>
            <c:strRef>
              <c:f>'FS - Business Case'!$A$4:$A$32</c:f>
              <c:strCache>
                <c:ptCount val="29"/>
                <c:pt idx="0">
                  <c:v>OFFICE</c:v>
                </c:pt>
                <c:pt idx="1">
                  <c:v>Class 'A' - gas boiler</c:v>
                </c:pt>
                <c:pt idx="2">
                  <c:v>Class 'A' - district heating/ cooling</c:v>
                </c:pt>
                <c:pt idx="3">
                  <c:v>Class 'A' - electric</c:v>
                </c:pt>
                <c:pt idx="4">
                  <c:v>Class 'B' &amp; 'C' - rooftop units</c:v>
                </c:pt>
                <c:pt idx="5">
                  <c:v>Class 'B' &amp; 'C' - electric</c:v>
                </c:pt>
                <c:pt idx="6">
                  <c:v> </c:v>
                </c:pt>
                <c:pt idx="7">
                  <c:v>RETAIL &amp; HOSPITALITY</c:v>
                </c:pt>
                <c:pt idx="8">
                  <c:v>Restaurant - gas MAU + RTU</c:v>
                </c:pt>
                <c:pt idx="9">
                  <c:v>High-rise hotel - gas boiler</c:v>
                </c:pt>
                <c:pt idx="10">
                  <c:v>High-rise hotel - electric</c:v>
                </c:pt>
                <c:pt idx="11">
                  <c:v>Standalone retail</c:v>
                </c:pt>
                <c:pt idx="12">
                  <c:v>Mall retail</c:v>
                </c:pt>
                <c:pt idx="13">
                  <c:v> </c:v>
                </c:pt>
                <c:pt idx="14">
                  <c:v>MULTI-UNIT RESIDENTIAL</c:v>
                </c:pt>
                <c:pt idx="15">
                  <c:v>Pre-2004 apartment - gas boiler</c:v>
                </c:pt>
                <c:pt idx="16">
                  <c:v>Pre-2004 apartment - electric</c:v>
                </c:pt>
                <c:pt idx="17">
                  <c:v>Post-2004 condo (window glazing alternate)</c:v>
                </c:pt>
                <c:pt idx="18">
                  <c:v>Post-2004 condo</c:v>
                </c:pt>
                <c:pt idx="19">
                  <c:v> </c:v>
                </c:pt>
                <c:pt idx="20">
                  <c:v>RESIDENTIAL</c:v>
                </c:pt>
                <c:pt idx="21">
                  <c:v>Typical house
(Pitched Roof)(Int. Wall Reno)</c:v>
                </c:pt>
                <c:pt idx="22">
                  <c:v>Typical house
(Flat Roof)(Ext. Wall Reno)</c:v>
                </c:pt>
                <c:pt idx="23">
                  <c:v> </c:v>
                </c:pt>
                <c:pt idx="24">
                  <c:v>INSTITUTIONAL</c:v>
                </c:pt>
                <c:pt idx="25">
                  <c:v>High water use hospital (inpatient)</c:v>
                </c:pt>
                <c:pt idx="26">
                  <c:v>Low water use hospital (outpatient)</c:v>
                </c:pt>
                <c:pt idx="27">
                  <c:v>Assembly &amp; educational</c:v>
                </c:pt>
                <c:pt idx="28">
                  <c:v> </c:v>
                </c:pt>
              </c:strCache>
            </c:strRef>
          </c:cat>
          <c:val>
            <c:numRef>
              <c:f>'FS - Business Case'!$F$4:$F$32</c:f>
              <c:numCache>
                <c:formatCode>_-"$"* #,##0.00_-;\-"$"* #,##0.00_-;_-"$"* "-"??_-;_-@_-</c:formatCode>
                <c:ptCount val="29"/>
                <c:pt idx="1">
                  <c:v>2.2328416207879096</c:v>
                </c:pt>
                <c:pt idx="2">
                  <c:v>0</c:v>
                </c:pt>
                <c:pt idx="3">
                  <c:v>0</c:v>
                </c:pt>
                <c:pt idx="4">
                  <c:v>1.8060061423775986</c:v>
                </c:pt>
                <c:pt idx="5">
                  <c:v>0</c:v>
                </c:pt>
                <c:pt idx="8">
                  <c:v>11.60725268508658</c:v>
                </c:pt>
                <c:pt idx="9">
                  <c:v>3.2912204811642471</c:v>
                </c:pt>
                <c:pt idx="10">
                  <c:v>0</c:v>
                </c:pt>
                <c:pt idx="11">
                  <c:v>3.5699651311519967</c:v>
                </c:pt>
                <c:pt idx="12">
                  <c:v>4.0818037025309168</c:v>
                </c:pt>
                <c:pt idx="15">
                  <c:v>2.0528883862244269</c:v>
                </c:pt>
                <c:pt idx="16">
                  <c:v>0</c:v>
                </c:pt>
                <c:pt idx="18">
                  <c:v>2.004990713612731</c:v>
                </c:pt>
                <c:pt idx="22">
                  <c:v>2.832289391662997</c:v>
                </c:pt>
                <c:pt idx="25">
                  <c:v>0</c:v>
                </c:pt>
                <c:pt idx="26">
                  <c:v>0</c:v>
                </c:pt>
                <c:pt idx="27">
                  <c:v>0</c:v>
                </c:pt>
              </c:numCache>
            </c:numRef>
          </c:val>
          <c:extLst>
            <c:ext xmlns:c16="http://schemas.microsoft.com/office/drawing/2014/chart" uri="{C3380CC4-5D6E-409C-BE32-E72D297353CC}">
              <c16:uniqueId val="{00000001-64B1-43BA-BF2E-AC6FAA97EB0B}"/>
            </c:ext>
          </c:extLst>
        </c:ser>
        <c:ser>
          <c:idx val="3"/>
          <c:order val="1"/>
          <c:tx>
            <c:strRef>
              <c:f>'FS - Business Case'!$I$1:$M$1</c:f>
              <c:strCache>
                <c:ptCount val="1"/>
                <c:pt idx="0">
                  <c:v>ASHP RETROFIT</c:v>
                </c:pt>
              </c:strCache>
            </c:strRef>
          </c:tx>
          <c:spPr>
            <a:solidFill>
              <a:schemeClr val="accent4"/>
            </a:solidFill>
            <a:ln>
              <a:noFill/>
            </a:ln>
            <a:effectLst/>
            <a:sp3d/>
          </c:spPr>
          <c:invertIfNegative val="0"/>
          <c:val>
            <c:numRef>
              <c:f>'FS - Business Case'!$L$4:$L$32</c:f>
              <c:numCache>
                <c:formatCode>_-"$"* #,##0.00_-;\-"$"* #,##0.00_-;_-"$"* "-"??_-;_-@_-</c:formatCode>
                <c:ptCount val="29"/>
                <c:pt idx="1">
                  <c:v>3.3315615071648392</c:v>
                </c:pt>
                <c:pt idx="2">
                  <c:v>0</c:v>
                </c:pt>
                <c:pt idx="3">
                  <c:v>0</c:v>
                </c:pt>
                <c:pt idx="4">
                  <c:v>4.6205469223155271</c:v>
                </c:pt>
                <c:pt idx="5">
                  <c:v>0</c:v>
                </c:pt>
                <c:pt idx="8">
                  <c:v>33.520256362943798</c:v>
                </c:pt>
                <c:pt idx="9">
                  <c:v>4.9522056343644607</c:v>
                </c:pt>
                <c:pt idx="10">
                  <c:v>0</c:v>
                </c:pt>
                <c:pt idx="11">
                  <c:v>9.9458913930322641</c:v>
                </c:pt>
                <c:pt idx="12">
                  <c:v>4.8468947276335399</c:v>
                </c:pt>
                <c:pt idx="15">
                  <c:v>4.2792805577324193</c:v>
                </c:pt>
                <c:pt idx="16">
                  <c:v>0</c:v>
                </c:pt>
                <c:pt idx="18">
                  <c:v>4.3064159781116196</c:v>
                </c:pt>
                <c:pt idx="22">
                  <c:v>1.9589707935991845</c:v>
                </c:pt>
                <c:pt idx="25">
                  <c:v>4.8370507332868584</c:v>
                </c:pt>
                <c:pt idx="26">
                  <c:v>14.199303400862338</c:v>
                </c:pt>
                <c:pt idx="27">
                  <c:v>0</c:v>
                </c:pt>
              </c:numCache>
            </c:numRef>
          </c:val>
          <c:extLst>
            <c:ext xmlns:c16="http://schemas.microsoft.com/office/drawing/2014/chart" uri="{C3380CC4-5D6E-409C-BE32-E72D297353CC}">
              <c16:uniqueId val="{00000007-64B1-43BA-BF2E-AC6FAA97EB0B}"/>
            </c:ext>
          </c:extLst>
        </c:ser>
        <c:ser>
          <c:idx val="4"/>
          <c:order val="2"/>
          <c:tx>
            <c:strRef>
              <c:f>'FS - Business Case'!$O$1</c:f>
              <c:strCache>
                <c:ptCount val="1"/>
                <c:pt idx="0">
                  <c:v>ASHP w RNG BACKUP</c:v>
                </c:pt>
              </c:strCache>
            </c:strRef>
          </c:tx>
          <c:spPr>
            <a:solidFill>
              <a:schemeClr val="accent5"/>
            </a:solidFill>
            <a:ln>
              <a:noFill/>
            </a:ln>
            <a:effectLst/>
            <a:sp3d/>
          </c:spPr>
          <c:invertIfNegative val="0"/>
          <c:val>
            <c:numRef>
              <c:f>'FS - Business Case'!$R$4:$R$32</c:f>
              <c:numCache>
                <c:formatCode>_-"$"* #,##0.00_-;\-"$"* #,##0.00_-;_-"$"* "-"??_-;_-@_-</c:formatCode>
                <c:ptCount val="29"/>
                <c:pt idx="1">
                  <c:v>2.231020432223954</c:v>
                </c:pt>
                <c:pt idx="2">
                  <c:v>0</c:v>
                </c:pt>
                <c:pt idx="3">
                  <c:v>0</c:v>
                </c:pt>
                <c:pt idx="4">
                  <c:v>3.4041774579464836</c:v>
                </c:pt>
                <c:pt idx="5">
                  <c:v>0</c:v>
                </c:pt>
                <c:pt idx="8">
                  <c:v>30.55008092876481</c:v>
                </c:pt>
                <c:pt idx="9">
                  <c:v>3.5526244418738555</c:v>
                </c:pt>
                <c:pt idx="10">
                  <c:v>0</c:v>
                </c:pt>
                <c:pt idx="11">
                  <c:v>7.8905395022973615</c:v>
                </c:pt>
                <c:pt idx="12">
                  <c:v>3.5468749519865241</c:v>
                </c:pt>
                <c:pt idx="15">
                  <c:v>2.9089566913448466</c:v>
                </c:pt>
                <c:pt idx="16">
                  <c:v>0</c:v>
                </c:pt>
                <c:pt idx="17">
                  <c:v>0</c:v>
                </c:pt>
                <c:pt idx="18">
                  <c:v>2.9360921117240473</c:v>
                </c:pt>
                <c:pt idx="22">
                  <c:v>1.9589707935991845</c:v>
                </c:pt>
                <c:pt idx="25">
                  <c:v>2.8997995993337362</c:v>
                </c:pt>
                <c:pt idx="26">
                  <c:v>8.2689657746090486</c:v>
                </c:pt>
                <c:pt idx="27">
                  <c:v>0</c:v>
                </c:pt>
              </c:numCache>
            </c:numRef>
          </c:val>
          <c:extLst>
            <c:ext xmlns:c16="http://schemas.microsoft.com/office/drawing/2014/chart" uri="{C3380CC4-5D6E-409C-BE32-E72D297353CC}">
              <c16:uniqueId val="{00000009-64B1-43BA-BF2E-AC6FAA97EB0B}"/>
            </c:ext>
          </c:extLst>
        </c:ser>
        <c:ser>
          <c:idx val="5"/>
          <c:order val="3"/>
          <c:tx>
            <c:strRef>
              <c:f>'FS - Business Case'!$U$1</c:f>
              <c:strCache>
                <c:ptCount val="1"/>
                <c:pt idx="0">
                  <c:v>GSHP RETROFIT</c:v>
                </c:pt>
              </c:strCache>
            </c:strRef>
          </c:tx>
          <c:spPr>
            <a:solidFill>
              <a:schemeClr val="accent6"/>
            </a:solidFill>
            <a:ln>
              <a:noFill/>
            </a:ln>
            <a:effectLst/>
            <a:sp3d/>
          </c:spPr>
          <c:invertIfNegative val="0"/>
          <c:val>
            <c:numRef>
              <c:f>'FS - Business Case'!$X$4:$X$32</c:f>
              <c:numCache>
                <c:formatCode>_-"$"* #,##0.00_-;\-"$"* #,##0.00_-;_-"$"* "-"??_-;_-@_-</c:formatCode>
                <c:ptCount val="29"/>
                <c:pt idx="1">
                  <c:v>3.6728494830436631</c:v>
                </c:pt>
                <c:pt idx="2">
                  <c:v>0</c:v>
                </c:pt>
                <c:pt idx="3">
                  <c:v>0</c:v>
                </c:pt>
                <c:pt idx="4">
                  <c:v>4.3615332524160157</c:v>
                </c:pt>
                <c:pt idx="5">
                  <c:v>0</c:v>
                </c:pt>
                <c:pt idx="8">
                  <c:v>43.324242375906394</c:v>
                </c:pt>
                <c:pt idx="9">
                  <c:v>5.6487796689886114</c:v>
                </c:pt>
                <c:pt idx="10">
                  <c:v>0</c:v>
                </c:pt>
                <c:pt idx="11">
                  <c:v>10.908884934797429</c:v>
                </c:pt>
                <c:pt idx="12">
                  <c:v>5.2157535614636634</c:v>
                </c:pt>
                <c:pt idx="15">
                  <c:v>3.7737435947094116</c:v>
                </c:pt>
                <c:pt idx="16">
                  <c:v>0</c:v>
                </c:pt>
                <c:pt idx="17">
                  <c:v>0</c:v>
                </c:pt>
                <c:pt idx="18">
                  <c:v>3.7333166193207954</c:v>
                </c:pt>
                <c:pt idx="22">
                  <c:v>2.3125302958594181</c:v>
                </c:pt>
                <c:pt idx="25">
                  <c:v>6.3303583923084821</c:v>
                </c:pt>
                <c:pt idx="26">
                  <c:v>19.703955848345466</c:v>
                </c:pt>
                <c:pt idx="27">
                  <c:v>0</c:v>
                </c:pt>
              </c:numCache>
            </c:numRef>
          </c:val>
          <c:extLst>
            <c:ext xmlns:c16="http://schemas.microsoft.com/office/drawing/2014/chart" uri="{C3380CC4-5D6E-409C-BE32-E72D297353CC}">
              <c16:uniqueId val="{0000000B-64B1-43BA-BF2E-AC6FAA97EB0B}"/>
            </c:ext>
          </c:extLst>
        </c:ser>
        <c:ser>
          <c:idx val="2"/>
          <c:order val="4"/>
          <c:tx>
            <c:strRef>
              <c:f>'FS - Business Case'!$AA$1</c:f>
              <c:strCache>
                <c:ptCount val="1"/>
                <c:pt idx="0">
                  <c:v>ELECTRIC RESISTANCE RETROFIT</c:v>
                </c:pt>
              </c:strCache>
            </c:strRef>
          </c:tx>
          <c:spPr>
            <a:solidFill>
              <a:schemeClr val="accent3"/>
            </a:solidFill>
            <a:ln>
              <a:noFill/>
            </a:ln>
            <a:effectLst/>
            <a:sp3d/>
          </c:spPr>
          <c:invertIfNegative val="0"/>
          <c:val>
            <c:numRef>
              <c:f>'FS - Business Case'!$AD$4:$AD$31</c:f>
              <c:numCache>
                <c:formatCode>_-"$"* #,##0.00_-;\-"$"* #,##0.00_-;_-"$"* "-"??_-;_-@_-</c:formatCode>
                <c:ptCount val="28"/>
                <c:pt idx="1">
                  <c:v>3.1801685784485807</c:v>
                </c:pt>
                <c:pt idx="2">
                  <c:v>0</c:v>
                </c:pt>
                <c:pt idx="3">
                  <c:v>0</c:v>
                </c:pt>
                <c:pt idx="4">
                  <c:v>3.7304462713380775</c:v>
                </c:pt>
                <c:pt idx="5">
                  <c:v>0</c:v>
                </c:pt>
                <c:pt idx="8">
                  <c:v>34.33959975417141</c:v>
                </c:pt>
                <c:pt idx="9">
                  <c:v>4.8181855848433273</c:v>
                </c:pt>
                <c:pt idx="10">
                  <c:v>0</c:v>
                </c:pt>
                <c:pt idx="11">
                  <c:v>7.6841251804752115</c:v>
                </c:pt>
                <c:pt idx="12">
                  <c:v>5.9132606834791872</c:v>
                </c:pt>
                <c:pt idx="15">
                  <c:v>3.0922941059320852</c:v>
                </c:pt>
                <c:pt idx="16">
                  <c:v>0</c:v>
                </c:pt>
                <c:pt idx="18">
                  <c:v>3.1473915098720275</c:v>
                </c:pt>
                <c:pt idx="22">
                  <c:v>3.4764466817135427</c:v>
                </c:pt>
                <c:pt idx="25">
                  <c:v>1.4666936147650314</c:v>
                </c:pt>
                <c:pt idx="26">
                  <c:v>1.9294331163909391</c:v>
                </c:pt>
                <c:pt idx="27">
                  <c:v>0</c:v>
                </c:pt>
              </c:numCache>
            </c:numRef>
          </c:val>
          <c:extLst>
            <c:ext xmlns:c16="http://schemas.microsoft.com/office/drawing/2014/chart" uri="{C3380CC4-5D6E-409C-BE32-E72D297353CC}">
              <c16:uniqueId val="{00000005-64B1-43BA-BF2E-AC6FAA97EB0B}"/>
            </c:ext>
          </c:extLst>
        </c:ser>
        <c:ser>
          <c:idx val="1"/>
          <c:order val="5"/>
          <c:tx>
            <c:strRef>
              <c:f>'FS - Business Case'!$AG$1</c:f>
              <c:strCache>
                <c:ptCount val="1"/>
                <c:pt idx="0">
                  <c:v>HYDROGEN CONVERSION RETROFIT</c:v>
                </c:pt>
              </c:strCache>
            </c:strRef>
          </c:tx>
          <c:spPr>
            <a:solidFill>
              <a:schemeClr val="accent2"/>
            </a:solidFill>
            <a:ln>
              <a:noFill/>
            </a:ln>
            <a:effectLst/>
            <a:sp3d/>
          </c:spPr>
          <c:invertIfNegative val="0"/>
          <c:val>
            <c:numRef>
              <c:f>'FS - Business Case'!$AJ$4:$AJ$32</c:f>
              <c:numCache>
                <c:formatCode>_-"$"* #,##0.00_-;\-"$"* #,##0.00_-;_-"$"* "-"??_-;_-@_-</c:formatCode>
                <c:ptCount val="29"/>
                <c:pt idx="1">
                  <c:v>3.4058611380673196</c:v>
                </c:pt>
                <c:pt idx="2">
                  <c:v>0</c:v>
                </c:pt>
                <c:pt idx="3">
                  <c:v>0</c:v>
                </c:pt>
                <c:pt idx="4">
                  <c:v>3.164856851025653</c:v>
                </c:pt>
                <c:pt idx="5">
                  <c:v>0</c:v>
                </c:pt>
                <c:pt idx="8">
                  <c:v>11.090553114002905</c:v>
                </c:pt>
                <c:pt idx="9">
                  <c:v>6.2555916528361672</c:v>
                </c:pt>
                <c:pt idx="10">
                  <c:v>0</c:v>
                </c:pt>
                <c:pt idx="11">
                  <c:v>7.1909766703069966</c:v>
                </c:pt>
                <c:pt idx="12">
                  <c:v>7.5886887309418576</c:v>
                </c:pt>
                <c:pt idx="15">
                  <c:v>3.2256394478453458</c:v>
                </c:pt>
                <c:pt idx="16">
                  <c:v>0</c:v>
                </c:pt>
                <c:pt idx="18">
                  <c:v>3.1868095390714477</c:v>
                </c:pt>
                <c:pt idx="22">
                  <c:v>3.6491705784902493</c:v>
                </c:pt>
                <c:pt idx="25">
                  <c:v>0</c:v>
                </c:pt>
                <c:pt idx="26">
                  <c:v>0</c:v>
                </c:pt>
                <c:pt idx="27">
                  <c:v>0</c:v>
                </c:pt>
              </c:numCache>
            </c:numRef>
          </c:val>
          <c:extLst>
            <c:ext xmlns:c16="http://schemas.microsoft.com/office/drawing/2014/chart" uri="{C3380CC4-5D6E-409C-BE32-E72D297353CC}">
              <c16:uniqueId val="{00000003-64B1-43BA-BF2E-AC6FAA97EB0B}"/>
            </c:ext>
          </c:extLst>
        </c:ser>
        <c:dLbls>
          <c:showLegendKey val="0"/>
          <c:showVal val="0"/>
          <c:showCatName val="0"/>
          <c:showSerName val="0"/>
          <c:showPercent val="0"/>
          <c:showBubbleSize val="0"/>
        </c:dLbls>
        <c:gapWidth val="150"/>
        <c:shape val="box"/>
        <c:axId val="337112624"/>
        <c:axId val="337113936"/>
        <c:axId val="0"/>
      </c:bar3DChart>
      <c:catAx>
        <c:axId val="337112624"/>
        <c:scaling>
          <c:orientation val="minMax"/>
        </c:scaling>
        <c:delete val="0"/>
        <c:axPos val="b"/>
        <c:title>
          <c:tx>
            <c:rich>
              <a:bodyPr/>
              <a:lstStyle/>
              <a:p>
                <a:pPr>
                  <a:defRPr sz="1050" b="0"/>
                </a:pPr>
                <a:r>
                  <a:rPr lang="en-CA" sz="1050" b="0"/>
                  <a:t>Building Typologies</a:t>
                </a:r>
              </a:p>
            </c:rich>
          </c:tx>
          <c:layout>
            <c:manualLayout>
              <c:xMode val="edge"/>
              <c:yMode val="edge"/>
              <c:x val="0.49454476523767854"/>
              <c:y val="0.92119852665475643"/>
            </c:manualLayout>
          </c:layout>
          <c:overlay val="0"/>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crossAx val="337113936"/>
        <c:crosses val="autoZero"/>
        <c:auto val="1"/>
        <c:lblAlgn val="ctr"/>
        <c:lblOffset val="100"/>
        <c:noMultiLvlLbl val="0"/>
      </c:catAx>
      <c:valAx>
        <c:axId val="337113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50" b="0"/>
                </a:pPr>
                <a:r>
                  <a:rPr lang="en-CA" sz="1050" b="0"/>
                  <a:t>Total Cost ($/ft2)</a:t>
                </a:r>
              </a:p>
            </c:rich>
          </c:tx>
          <c:layout>
            <c:manualLayout>
              <c:xMode val="edge"/>
              <c:yMode val="edge"/>
              <c:x val="1.0584281131525226E-2"/>
              <c:y val="0.2848389539542851"/>
            </c:manualLayout>
          </c:layout>
          <c:overlay val="0"/>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crossAx val="337112624"/>
        <c:crosses val="autoZero"/>
        <c:crossBetween val="between"/>
      </c:valAx>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showDLblsOverMax val="0"/>
    <c:extLst/>
  </c:chart>
  <c:spPr>
    <a:ln>
      <a:solidFill>
        <a:schemeClr val="tx2">
          <a:lumMod val="20000"/>
          <a:lumOff val="80000"/>
        </a:schemeClr>
      </a:solidFill>
    </a:ln>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428627</xdr:colOff>
      <xdr:row>39</xdr:row>
      <xdr:rowOff>22225</xdr:rowOff>
    </xdr:from>
    <xdr:to>
      <xdr:col>1</xdr:col>
      <xdr:colOff>912497</xdr:colOff>
      <xdr:row>39</xdr:row>
      <xdr:rowOff>22225</xdr:rowOff>
    </xdr:to>
    <xdr:cxnSp macro="">
      <xdr:nvCxnSpPr>
        <xdr:cNvPr id="22" name="Straight Arrow Connector 21">
          <a:extLst>
            <a:ext uri="{FF2B5EF4-FFF2-40B4-BE49-F238E27FC236}">
              <a16:creationId xmlns:a16="http://schemas.microsoft.com/office/drawing/2014/main" id="{FF55AF5A-ACD6-351F-157E-75505235B235}"/>
            </a:ext>
          </a:extLst>
        </xdr:cNvPr>
        <xdr:cNvCxnSpPr/>
      </xdr:nvCxnSpPr>
      <xdr:spPr>
        <a:xfrm>
          <a:off x="1439105" y="15908268"/>
          <a:ext cx="48387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985218</xdr:colOff>
      <xdr:row>36</xdr:row>
      <xdr:rowOff>38100</xdr:rowOff>
    </xdr:from>
    <xdr:to>
      <xdr:col>2</xdr:col>
      <xdr:colOff>661810</xdr:colOff>
      <xdr:row>37</xdr:row>
      <xdr:rowOff>159385</xdr:rowOff>
    </xdr:to>
    <xdr:sp macro="" textlink="">
      <xdr:nvSpPr>
        <xdr:cNvPr id="23" name="Rectangle 22">
          <a:extLst>
            <a:ext uri="{FF2B5EF4-FFF2-40B4-BE49-F238E27FC236}">
              <a16:creationId xmlns:a16="http://schemas.microsoft.com/office/drawing/2014/main" id="{0F0DDE08-675B-62C3-843B-7FBB25121728}"/>
            </a:ext>
          </a:extLst>
        </xdr:cNvPr>
        <xdr:cNvSpPr/>
      </xdr:nvSpPr>
      <xdr:spPr>
        <a:xfrm>
          <a:off x="985218" y="15327796"/>
          <a:ext cx="1788657" cy="320067"/>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tabLst>
              <a:tab pos="927100" algn="l"/>
            </a:tabLst>
          </a:pPr>
          <a:r>
            <a:rPr lang="en-US" sz="1100" b="1" kern="100">
              <a:effectLst/>
              <a:ea typeface="Franklin Gothic Book" panose="020B0503020102020204" pitchFamily="34" charset="0"/>
              <a:cs typeface="Times New Roman" panose="02020603050405020304" pitchFamily="18" charset="0"/>
            </a:rPr>
            <a:t>[Global Inputs]</a:t>
          </a:r>
          <a:endParaRPr lang="en-CA" sz="1100" kern="100">
            <a:effectLst/>
            <a:ea typeface="Franklin Gothic Book" panose="020B0503020102020204" pitchFamily="34" charset="0"/>
            <a:cs typeface="Times New Roman" panose="02020603050405020304" pitchFamily="18" charset="0"/>
          </a:endParaRPr>
        </a:p>
      </xdr:txBody>
    </xdr:sp>
    <xdr:clientData/>
  </xdr:twoCellAnchor>
  <xdr:twoCellAnchor>
    <xdr:from>
      <xdr:col>1</xdr:col>
      <xdr:colOff>913767</xdr:colOff>
      <xdr:row>38</xdr:row>
      <xdr:rowOff>26670</xdr:rowOff>
    </xdr:from>
    <xdr:to>
      <xdr:col>2</xdr:col>
      <xdr:colOff>1604150</xdr:colOff>
      <xdr:row>39</xdr:row>
      <xdr:rowOff>147955</xdr:rowOff>
    </xdr:to>
    <xdr:sp macro="" textlink="">
      <xdr:nvSpPr>
        <xdr:cNvPr id="24" name="Rectangle 23">
          <a:extLst>
            <a:ext uri="{FF2B5EF4-FFF2-40B4-BE49-F238E27FC236}">
              <a16:creationId xmlns:a16="http://schemas.microsoft.com/office/drawing/2014/main" id="{F193BF22-77EB-FC5E-3577-8011B733E267}"/>
            </a:ext>
          </a:extLst>
        </xdr:cNvPr>
        <xdr:cNvSpPr/>
      </xdr:nvSpPr>
      <xdr:spPr>
        <a:xfrm>
          <a:off x="1924245" y="15713931"/>
          <a:ext cx="1791970" cy="320067"/>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tabLst>
              <a:tab pos="927100" algn="l"/>
            </a:tabLst>
          </a:pPr>
          <a:r>
            <a:rPr lang="en-US" sz="1100" b="1" kern="100">
              <a:effectLst/>
              <a:ea typeface="Franklin Gothic Book" panose="020B0503020102020204" pitchFamily="34" charset="0"/>
              <a:cs typeface="Times New Roman" panose="02020603050405020304" pitchFamily="18" charset="0"/>
            </a:rPr>
            <a:t>[Building Typology]</a:t>
          </a:r>
          <a:endParaRPr lang="en-CA" sz="1100" kern="100">
            <a:effectLst/>
            <a:ea typeface="Franklin Gothic Book" panose="020B0503020102020204" pitchFamily="34" charset="0"/>
            <a:cs typeface="Times New Roman" panose="02020603050405020304" pitchFamily="18" charset="0"/>
          </a:endParaRPr>
        </a:p>
      </xdr:txBody>
    </xdr:sp>
    <xdr:clientData/>
  </xdr:twoCellAnchor>
  <xdr:twoCellAnchor>
    <xdr:from>
      <xdr:col>2</xdr:col>
      <xdr:colOff>777380</xdr:colOff>
      <xdr:row>43</xdr:row>
      <xdr:rowOff>59055</xdr:rowOff>
    </xdr:from>
    <xdr:to>
      <xdr:col>2</xdr:col>
      <xdr:colOff>2569350</xdr:colOff>
      <xdr:row>44</xdr:row>
      <xdr:rowOff>180340</xdr:rowOff>
    </xdr:to>
    <xdr:sp macro="" textlink="">
      <xdr:nvSpPr>
        <xdr:cNvPr id="25" name="Rectangle 24">
          <a:extLst>
            <a:ext uri="{FF2B5EF4-FFF2-40B4-BE49-F238E27FC236}">
              <a16:creationId xmlns:a16="http://schemas.microsoft.com/office/drawing/2014/main" id="{1433DFC9-72AE-A58D-F84F-8B5B98435F38}"/>
            </a:ext>
          </a:extLst>
        </xdr:cNvPr>
        <xdr:cNvSpPr/>
      </xdr:nvSpPr>
      <xdr:spPr>
        <a:xfrm>
          <a:off x="2889445" y="16740229"/>
          <a:ext cx="1791970" cy="320068"/>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tabLst>
              <a:tab pos="927100" algn="l"/>
            </a:tabLst>
          </a:pPr>
          <a:r>
            <a:rPr lang="en-US" sz="1100" b="1" kern="100">
              <a:effectLst/>
              <a:ea typeface="Franklin Gothic Book" panose="020B0503020102020204" pitchFamily="34" charset="0"/>
              <a:cs typeface="Times New Roman" panose="02020603050405020304" pitchFamily="18" charset="0"/>
            </a:rPr>
            <a:t>[FS – Capital Output]</a:t>
          </a:r>
          <a:endParaRPr lang="en-CA" sz="1100" kern="100">
            <a:effectLst/>
            <a:ea typeface="Franklin Gothic Book" panose="020B0503020102020204" pitchFamily="34" charset="0"/>
            <a:cs typeface="Times New Roman" panose="02020603050405020304" pitchFamily="18" charset="0"/>
          </a:endParaRPr>
        </a:p>
      </xdr:txBody>
    </xdr:sp>
    <xdr:clientData/>
  </xdr:twoCellAnchor>
  <xdr:twoCellAnchor>
    <xdr:from>
      <xdr:col>2</xdr:col>
      <xdr:colOff>785000</xdr:colOff>
      <xdr:row>45</xdr:row>
      <xdr:rowOff>39370</xdr:rowOff>
    </xdr:from>
    <xdr:to>
      <xdr:col>2</xdr:col>
      <xdr:colOff>2576970</xdr:colOff>
      <xdr:row>46</xdr:row>
      <xdr:rowOff>160655</xdr:rowOff>
    </xdr:to>
    <xdr:sp macro="" textlink="">
      <xdr:nvSpPr>
        <xdr:cNvPr id="26" name="Rectangle 25">
          <a:extLst>
            <a:ext uri="{FF2B5EF4-FFF2-40B4-BE49-F238E27FC236}">
              <a16:creationId xmlns:a16="http://schemas.microsoft.com/office/drawing/2014/main" id="{98DD6790-9682-1183-154F-0C71C43E8134}"/>
            </a:ext>
          </a:extLst>
        </xdr:cNvPr>
        <xdr:cNvSpPr/>
      </xdr:nvSpPr>
      <xdr:spPr>
        <a:xfrm>
          <a:off x="2897065" y="17118109"/>
          <a:ext cx="1791970" cy="320068"/>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tabLst>
              <a:tab pos="927100" algn="l"/>
            </a:tabLst>
          </a:pPr>
          <a:r>
            <a:rPr lang="en-US" sz="1100" b="1" kern="100">
              <a:effectLst/>
              <a:ea typeface="Franklin Gothic Book" panose="020B0503020102020204" pitchFamily="34" charset="0"/>
              <a:cs typeface="Times New Roman" panose="02020603050405020304" pitchFamily="18" charset="0"/>
            </a:rPr>
            <a:t>[FS - Operational]</a:t>
          </a:r>
          <a:endParaRPr lang="en-CA" sz="1100" kern="100">
            <a:effectLst/>
            <a:ea typeface="Franklin Gothic Book" panose="020B0503020102020204" pitchFamily="34" charset="0"/>
            <a:cs typeface="Times New Roman" panose="02020603050405020304" pitchFamily="18" charset="0"/>
          </a:endParaRPr>
        </a:p>
      </xdr:txBody>
    </xdr:sp>
    <xdr:clientData/>
  </xdr:twoCellAnchor>
  <xdr:twoCellAnchor>
    <xdr:from>
      <xdr:col>2</xdr:col>
      <xdr:colOff>2286140</xdr:colOff>
      <xdr:row>47</xdr:row>
      <xdr:rowOff>48895</xdr:rowOff>
    </xdr:from>
    <xdr:to>
      <xdr:col>2</xdr:col>
      <xdr:colOff>4078110</xdr:colOff>
      <xdr:row>48</xdr:row>
      <xdr:rowOff>170180</xdr:rowOff>
    </xdr:to>
    <xdr:sp macro="" textlink="">
      <xdr:nvSpPr>
        <xdr:cNvPr id="27" name="Rectangle 26">
          <a:extLst>
            <a:ext uri="{FF2B5EF4-FFF2-40B4-BE49-F238E27FC236}">
              <a16:creationId xmlns:a16="http://schemas.microsoft.com/office/drawing/2014/main" id="{5DD760F5-7790-93A6-890E-C1086152D789}"/>
            </a:ext>
          </a:extLst>
        </xdr:cNvPr>
        <xdr:cNvSpPr/>
      </xdr:nvSpPr>
      <xdr:spPr>
        <a:xfrm>
          <a:off x="4398205" y="17525199"/>
          <a:ext cx="1791970" cy="320068"/>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tabLst>
              <a:tab pos="927100" algn="l"/>
            </a:tabLst>
          </a:pPr>
          <a:r>
            <a:rPr lang="en-US" sz="1100" b="1" kern="100">
              <a:effectLst/>
              <a:ea typeface="Franklin Gothic Book" panose="020B0503020102020204" pitchFamily="34" charset="0"/>
              <a:cs typeface="Times New Roman" panose="02020603050405020304" pitchFamily="18" charset="0"/>
            </a:rPr>
            <a:t>[Business Case]</a:t>
          </a:r>
          <a:endParaRPr lang="en-CA" sz="1100" kern="100">
            <a:effectLst/>
            <a:ea typeface="Franklin Gothic Book" panose="020B0503020102020204" pitchFamily="34" charset="0"/>
            <a:cs typeface="Times New Roman" panose="02020603050405020304" pitchFamily="18" charset="0"/>
          </a:endParaRPr>
        </a:p>
      </xdr:txBody>
    </xdr:sp>
    <xdr:clientData/>
  </xdr:twoCellAnchor>
  <xdr:twoCellAnchor>
    <xdr:from>
      <xdr:col>2</xdr:col>
      <xdr:colOff>2576970</xdr:colOff>
      <xdr:row>43</xdr:row>
      <xdr:rowOff>198755</xdr:rowOff>
    </xdr:from>
    <xdr:to>
      <xdr:col>2</xdr:col>
      <xdr:colOff>2853195</xdr:colOff>
      <xdr:row>43</xdr:row>
      <xdr:rowOff>198755</xdr:rowOff>
    </xdr:to>
    <xdr:cxnSp macro="">
      <xdr:nvCxnSpPr>
        <xdr:cNvPr id="28" name="Straight Connector 27">
          <a:extLst>
            <a:ext uri="{FF2B5EF4-FFF2-40B4-BE49-F238E27FC236}">
              <a16:creationId xmlns:a16="http://schemas.microsoft.com/office/drawing/2014/main" id="{11743529-1CC6-93F8-C481-831748B26EF3}"/>
            </a:ext>
          </a:extLst>
        </xdr:cNvPr>
        <xdr:cNvCxnSpPr/>
      </xdr:nvCxnSpPr>
      <xdr:spPr>
        <a:xfrm>
          <a:off x="4689035" y="16879929"/>
          <a:ext cx="276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2575700</xdr:colOff>
      <xdr:row>45</xdr:row>
      <xdr:rowOff>181610</xdr:rowOff>
    </xdr:from>
    <xdr:to>
      <xdr:col>2</xdr:col>
      <xdr:colOff>2851925</xdr:colOff>
      <xdr:row>45</xdr:row>
      <xdr:rowOff>181610</xdr:rowOff>
    </xdr:to>
    <xdr:cxnSp macro="">
      <xdr:nvCxnSpPr>
        <xdr:cNvPr id="29" name="Straight Connector 28">
          <a:extLst>
            <a:ext uri="{FF2B5EF4-FFF2-40B4-BE49-F238E27FC236}">
              <a16:creationId xmlns:a16="http://schemas.microsoft.com/office/drawing/2014/main" id="{40463C88-22BE-308D-B58D-67238773A9FF}"/>
            </a:ext>
          </a:extLst>
        </xdr:cNvPr>
        <xdr:cNvCxnSpPr/>
      </xdr:nvCxnSpPr>
      <xdr:spPr>
        <a:xfrm>
          <a:off x="4687765" y="17260349"/>
          <a:ext cx="276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2850020</xdr:colOff>
      <xdr:row>43</xdr:row>
      <xdr:rowOff>197485</xdr:rowOff>
    </xdr:from>
    <xdr:to>
      <xdr:col>2</xdr:col>
      <xdr:colOff>2850020</xdr:colOff>
      <xdr:row>45</xdr:row>
      <xdr:rowOff>180975</xdr:rowOff>
    </xdr:to>
    <xdr:cxnSp macro="">
      <xdr:nvCxnSpPr>
        <xdr:cNvPr id="30" name="Straight Connector 29">
          <a:extLst>
            <a:ext uri="{FF2B5EF4-FFF2-40B4-BE49-F238E27FC236}">
              <a16:creationId xmlns:a16="http://schemas.microsoft.com/office/drawing/2014/main" id="{24EA6E02-0AF1-42E3-4DAE-D855A00283FC}"/>
            </a:ext>
          </a:extLst>
        </xdr:cNvPr>
        <xdr:cNvCxnSpPr/>
      </xdr:nvCxnSpPr>
      <xdr:spPr>
        <a:xfrm>
          <a:off x="4962085" y="16878659"/>
          <a:ext cx="0" cy="3810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2294395</xdr:colOff>
      <xdr:row>49</xdr:row>
      <xdr:rowOff>48260</xdr:rowOff>
    </xdr:from>
    <xdr:to>
      <xdr:col>2</xdr:col>
      <xdr:colOff>4086365</xdr:colOff>
      <xdr:row>50</xdr:row>
      <xdr:rowOff>182245</xdr:rowOff>
    </xdr:to>
    <xdr:sp macro="" textlink="">
      <xdr:nvSpPr>
        <xdr:cNvPr id="31" name="Rectangle 30">
          <a:extLst>
            <a:ext uri="{FF2B5EF4-FFF2-40B4-BE49-F238E27FC236}">
              <a16:creationId xmlns:a16="http://schemas.microsoft.com/office/drawing/2014/main" id="{F9ED2427-50B7-5BB9-B69E-3B230AB00A34}"/>
            </a:ext>
          </a:extLst>
        </xdr:cNvPr>
        <xdr:cNvSpPr/>
      </xdr:nvSpPr>
      <xdr:spPr>
        <a:xfrm>
          <a:off x="4406460" y="17922130"/>
          <a:ext cx="1791970" cy="332767"/>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tabLst>
              <a:tab pos="927100" algn="l"/>
            </a:tabLst>
          </a:pPr>
          <a:r>
            <a:rPr lang="en-US" sz="1100" b="1" kern="100">
              <a:effectLst/>
              <a:ea typeface="Franklin Gothic Book" panose="020B0503020102020204" pitchFamily="34" charset="0"/>
              <a:cs typeface="Times New Roman" panose="02020603050405020304" pitchFamily="18" charset="0"/>
            </a:rPr>
            <a:t>[Efficiency]</a:t>
          </a:r>
          <a:endParaRPr lang="en-CA" sz="1100" kern="100">
            <a:effectLst/>
            <a:ea typeface="Franklin Gothic Book" panose="020B0503020102020204" pitchFamily="34" charset="0"/>
            <a:cs typeface="Times New Roman" panose="02020603050405020304" pitchFamily="18" charset="0"/>
          </a:endParaRPr>
        </a:p>
      </xdr:txBody>
    </xdr:sp>
    <xdr:clientData/>
  </xdr:twoCellAnchor>
  <xdr:twoCellAnchor>
    <xdr:from>
      <xdr:col>2</xdr:col>
      <xdr:colOff>2846845</xdr:colOff>
      <xdr:row>44</xdr:row>
      <xdr:rowOff>179070</xdr:rowOff>
    </xdr:from>
    <xdr:to>
      <xdr:col>2</xdr:col>
      <xdr:colOff>3218955</xdr:colOff>
      <xdr:row>47</xdr:row>
      <xdr:rowOff>46355</xdr:rowOff>
    </xdr:to>
    <xdr:cxnSp macro="">
      <xdr:nvCxnSpPr>
        <xdr:cNvPr id="32" name="Connector: Elbow 31">
          <a:extLst>
            <a:ext uri="{FF2B5EF4-FFF2-40B4-BE49-F238E27FC236}">
              <a16:creationId xmlns:a16="http://schemas.microsoft.com/office/drawing/2014/main" id="{D12F4540-56DF-B6F8-C442-3EEF7E1861DA}"/>
            </a:ext>
          </a:extLst>
        </xdr:cNvPr>
        <xdr:cNvCxnSpPr/>
      </xdr:nvCxnSpPr>
      <xdr:spPr>
        <a:xfrm rot="16200000" flipH="1">
          <a:off x="4913149" y="17104788"/>
          <a:ext cx="463632" cy="372110"/>
        </a:xfrm>
        <a:prstGeom prst="bentConnector3">
          <a:avLst>
            <a:gd name="adj1" fmla="val -30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1026797</xdr:colOff>
      <xdr:row>39</xdr:row>
      <xdr:rowOff>150495</xdr:rowOff>
    </xdr:from>
    <xdr:to>
      <xdr:col>2</xdr:col>
      <xdr:colOff>773570</xdr:colOff>
      <xdr:row>43</xdr:row>
      <xdr:rowOff>139065</xdr:rowOff>
    </xdr:to>
    <xdr:cxnSp macro="">
      <xdr:nvCxnSpPr>
        <xdr:cNvPr id="33" name="Connector: Elbow 32">
          <a:extLst>
            <a:ext uri="{FF2B5EF4-FFF2-40B4-BE49-F238E27FC236}">
              <a16:creationId xmlns:a16="http://schemas.microsoft.com/office/drawing/2014/main" id="{7220B0E2-E92B-16D6-CFE1-7BB4E8B2D61C}"/>
            </a:ext>
          </a:extLst>
        </xdr:cNvPr>
        <xdr:cNvCxnSpPr/>
      </xdr:nvCxnSpPr>
      <xdr:spPr>
        <a:xfrm>
          <a:off x="2037275" y="16036538"/>
          <a:ext cx="848360" cy="783701"/>
        </a:xfrm>
        <a:prstGeom prst="bentConnector3">
          <a:avLst>
            <a:gd name="adj1" fmla="val 637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1606690</xdr:colOff>
      <xdr:row>39</xdr:row>
      <xdr:rowOff>60960</xdr:rowOff>
    </xdr:from>
    <xdr:to>
      <xdr:col>2</xdr:col>
      <xdr:colOff>3357385</xdr:colOff>
      <xdr:row>47</xdr:row>
      <xdr:rowOff>44450</xdr:rowOff>
    </xdr:to>
    <xdr:cxnSp macro="">
      <xdr:nvCxnSpPr>
        <xdr:cNvPr id="34" name="Connector: Elbow 33">
          <a:extLst>
            <a:ext uri="{FF2B5EF4-FFF2-40B4-BE49-F238E27FC236}">
              <a16:creationId xmlns:a16="http://schemas.microsoft.com/office/drawing/2014/main" id="{D176980D-BCF2-9CDD-1064-81C5703572A7}"/>
            </a:ext>
          </a:extLst>
        </xdr:cNvPr>
        <xdr:cNvCxnSpPr/>
      </xdr:nvCxnSpPr>
      <xdr:spPr>
        <a:xfrm>
          <a:off x="3718755" y="15947003"/>
          <a:ext cx="1750695" cy="1573751"/>
        </a:xfrm>
        <a:prstGeom prst="bentConnector3">
          <a:avLst>
            <a:gd name="adj1" fmla="val 9970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428627</xdr:colOff>
      <xdr:row>44</xdr:row>
      <xdr:rowOff>76835</xdr:rowOff>
    </xdr:from>
    <xdr:to>
      <xdr:col>2</xdr:col>
      <xdr:colOff>778650</xdr:colOff>
      <xdr:row>44</xdr:row>
      <xdr:rowOff>76835</xdr:rowOff>
    </xdr:to>
    <xdr:cxnSp macro="">
      <xdr:nvCxnSpPr>
        <xdr:cNvPr id="35" name="Straight Arrow Connector 34">
          <a:extLst>
            <a:ext uri="{FF2B5EF4-FFF2-40B4-BE49-F238E27FC236}">
              <a16:creationId xmlns:a16="http://schemas.microsoft.com/office/drawing/2014/main" id="{33FBA30B-87D4-EE82-712C-EB7CFF62EAC2}"/>
            </a:ext>
          </a:extLst>
        </xdr:cNvPr>
        <xdr:cNvCxnSpPr/>
      </xdr:nvCxnSpPr>
      <xdr:spPr>
        <a:xfrm>
          <a:off x="1439105" y="16956792"/>
          <a:ext cx="14516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428627</xdr:colOff>
      <xdr:row>48</xdr:row>
      <xdr:rowOff>14605</xdr:rowOff>
    </xdr:from>
    <xdr:to>
      <xdr:col>2</xdr:col>
      <xdr:colOff>2286140</xdr:colOff>
      <xdr:row>48</xdr:row>
      <xdr:rowOff>22225</xdr:rowOff>
    </xdr:to>
    <xdr:cxnSp macro="">
      <xdr:nvCxnSpPr>
        <xdr:cNvPr id="36" name="Straight Arrow Connector 35">
          <a:extLst>
            <a:ext uri="{FF2B5EF4-FFF2-40B4-BE49-F238E27FC236}">
              <a16:creationId xmlns:a16="http://schemas.microsoft.com/office/drawing/2014/main" id="{0AECC0BF-2C5C-2F66-062F-929C2225DA4B}"/>
            </a:ext>
          </a:extLst>
        </xdr:cNvPr>
        <xdr:cNvCxnSpPr/>
      </xdr:nvCxnSpPr>
      <xdr:spPr>
        <a:xfrm flipV="1">
          <a:off x="1439105" y="17689692"/>
          <a:ext cx="295910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776110</xdr:colOff>
      <xdr:row>40</xdr:row>
      <xdr:rowOff>73025</xdr:rowOff>
    </xdr:from>
    <xdr:to>
      <xdr:col>2</xdr:col>
      <xdr:colOff>2568080</xdr:colOff>
      <xdr:row>41</xdr:row>
      <xdr:rowOff>194310</xdr:rowOff>
    </xdr:to>
    <xdr:sp macro="" textlink="">
      <xdr:nvSpPr>
        <xdr:cNvPr id="37" name="Rectangle 36">
          <a:extLst>
            <a:ext uri="{FF2B5EF4-FFF2-40B4-BE49-F238E27FC236}">
              <a16:creationId xmlns:a16="http://schemas.microsoft.com/office/drawing/2014/main" id="{CC1CFA23-F380-EB78-C294-CB9645DF05E1}"/>
            </a:ext>
          </a:extLst>
        </xdr:cNvPr>
        <xdr:cNvSpPr/>
      </xdr:nvSpPr>
      <xdr:spPr>
        <a:xfrm>
          <a:off x="2888175" y="16157851"/>
          <a:ext cx="1791970" cy="320068"/>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tabLst>
              <a:tab pos="927100" algn="l"/>
            </a:tabLst>
          </a:pPr>
          <a:r>
            <a:rPr lang="en-US" sz="1100" b="1" kern="100">
              <a:effectLst/>
              <a:ea typeface="Franklin Gothic Book" panose="020B0503020102020204" pitchFamily="34" charset="0"/>
              <a:cs typeface="Times New Roman" panose="02020603050405020304" pitchFamily="18" charset="0"/>
            </a:rPr>
            <a:t>[FS - Unitary Capital]</a:t>
          </a:r>
          <a:endParaRPr lang="en-CA" sz="1100" kern="100">
            <a:effectLst/>
            <a:ea typeface="Franklin Gothic Book" panose="020B0503020102020204" pitchFamily="34" charset="0"/>
            <a:cs typeface="Times New Roman" panose="02020603050405020304" pitchFamily="18" charset="0"/>
          </a:endParaRPr>
        </a:p>
      </xdr:txBody>
    </xdr:sp>
    <xdr:clientData/>
  </xdr:twoCellAnchor>
  <xdr:twoCellAnchor>
    <xdr:from>
      <xdr:col>1</xdr:col>
      <xdr:colOff>1080772</xdr:colOff>
      <xdr:row>41</xdr:row>
      <xdr:rowOff>22860</xdr:rowOff>
    </xdr:from>
    <xdr:to>
      <xdr:col>2</xdr:col>
      <xdr:colOff>773570</xdr:colOff>
      <xdr:row>41</xdr:row>
      <xdr:rowOff>22860</xdr:rowOff>
    </xdr:to>
    <xdr:cxnSp macro="">
      <xdr:nvCxnSpPr>
        <xdr:cNvPr id="38" name="Straight Arrow Connector 37">
          <a:extLst>
            <a:ext uri="{FF2B5EF4-FFF2-40B4-BE49-F238E27FC236}">
              <a16:creationId xmlns:a16="http://schemas.microsoft.com/office/drawing/2014/main" id="{526A694F-5834-0514-DDEA-B0F7EA67D055}"/>
            </a:ext>
          </a:extLst>
        </xdr:cNvPr>
        <xdr:cNvCxnSpPr/>
      </xdr:nvCxnSpPr>
      <xdr:spPr>
        <a:xfrm>
          <a:off x="2091250" y="16306469"/>
          <a:ext cx="7943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428627</xdr:colOff>
      <xdr:row>37</xdr:row>
      <xdr:rowOff>167005</xdr:rowOff>
    </xdr:from>
    <xdr:to>
      <xdr:col>1</xdr:col>
      <xdr:colOff>428627</xdr:colOff>
      <xdr:row>48</xdr:row>
      <xdr:rowOff>19050</xdr:rowOff>
    </xdr:to>
    <xdr:cxnSp macro="">
      <xdr:nvCxnSpPr>
        <xdr:cNvPr id="39" name="Straight Connector 38">
          <a:extLst>
            <a:ext uri="{FF2B5EF4-FFF2-40B4-BE49-F238E27FC236}">
              <a16:creationId xmlns:a16="http://schemas.microsoft.com/office/drawing/2014/main" id="{0434029C-E389-87BC-42A6-F3D39CEC8ECB}"/>
            </a:ext>
          </a:extLst>
        </xdr:cNvPr>
        <xdr:cNvCxnSpPr/>
      </xdr:nvCxnSpPr>
      <xdr:spPr>
        <a:xfrm>
          <a:off x="1439105" y="15655483"/>
          <a:ext cx="0" cy="20386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1714005</xdr:colOff>
      <xdr:row>41</xdr:row>
      <xdr:rowOff>196215</xdr:rowOff>
    </xdr:from>
    <xdr:to>
      <xdr:col>2</xdr:col>
      <xdr:colOff>1714005</xdr:colOff>
      <xdr:row>43</xdr:row>
      <xdr:rowOff>66675</xdr:rowOff>
    </xdr:to>
    <xdr:cxnSp macro="">
      <xdr:nvCxnSpPr>
        <xdr:cNvPr id="40" name="Straight Arrow Connector 39">
          <a:extLst>
            <a:ext uri="{FF2B5EF4-FFF2-40B4-BE49-F238E27FC236}">
              <a16:creationId xmlns:a16="http://schemas.microsoft.com/office/drawing/2014/main" id="{26809860-E94A-D529-839A-C8F7EDB26F4F}"/>
            </a:ext>
          </a:extLst>
        </xdr:cNvPr>
        <xdr:cNvCxnSpPr/>
      </xdr:nvCxnSpPr>
      <xdr:spPr>
        <a:xfrm>
          <a:off x="3826070" y="16479824"/>
          <a:ext cx="0" cy="268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148730</xdr:colOff>
      <xdr:row>37</xdr:row>
      <xdr:rowOff>156210</xdr:rowOff>
    </xdr:from>
    <xdr:to>
      <xdr:col>2</xdr:col>
      <xdr:colOff>2298840</xdr:colOff>
      <xdr:row>50</xdr:row>
      <xdr:rowOff>608</xdr:rowOff>
    </xdr:to>
    <xdr:cxnSp macro="">
      <xdr:nvCxnSpPr>
        <xdr:cNvPr id="41" name="Connector: Elbow 40">
          <a:extLst>
            <a:ext uri="{FF2B5EF4-FFF2-40B4-BE49-F238E27FC236}">
              <a16:creationId xmlns:a16="http://schemas.microsoft.com/office/drawing/2014/main" id="{8E0E3E75-B7D5-D4CC-6E6F-5AF8E213EAB4}"/>
            </a:ext>
          </a:extLst>
        </xdr:cNvPr>
        <xdr:cNvCxnSpPr/>
      </xdr:nvCxnSpPr>
      <xdr:spPr>
        <a:xfrm>
          <a:off x="1159208" y="15644688"/>
          <a:ext cx="3251697" cy="2428572"/>
        </a:xfrm>
        <a:prstGeom prst="bentConnector3">
          <a:avLst>
            <a:gd name="adj1" fmla="val -1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1605420</xdr:colOff>
      <xdr:row>38</xdr:row>
      <xdr:rowOff>103505</xdr:rowOff>
    </xdr:from>
    <xdr:to>
      <xdr:col>2</xdr:col>
      <xdr:colOff>4088905</xdr:colOff>
      <xdr:row>50</xdr:row>
      <xdr:rowOff>24765</xdr:rowOff>
    </xdr:to>
    <xdr:cxnSp macro="">
      <xdr:nvCxnSpPr>
        <xdr:cNvPr id="42" name="Connector: Elbow 41">
          <a:extLst>
            <a:ext uri="{FF2B5EF4-FFF2-40B4-BE49-F238E27FC236}">
              <a16:creationId xmlns:a16="http://schemas.microsoft.com/office/drawing/2014/main" id="{6ED6AC9A-0547-E195-2995-E2B62660CF00}"/>
            </a:ext>
          </a:extLst>
        </xdr:cNvPr>
        <xdr:cNvCxnSpPr/>
      </xdr:nvCxnSpPr>
      <xdr:spPr>
        <a:xfrm>
          <a:off x="3717485" y="15790766"/>
          <a:ext cx="2483485" cy="2306651"/>
        </a:xfrm>
        <a:prstGeom prst="bentConnector3">
          <a:avLst>
            <a:gd name="adj1" fmla="val 10770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114300</xdr:colOff>
      <xdr:row>0</xdr:row>
      <xdr:rowOff>209550</xdr:rowOff>
    </xdr:from>
    <xdr:to>
      <xdr:col>1</xdr:col>
      <xdr:colOff>268914</xdr:colOff>
      <xdr:row>0</xdr:row>
      <xdr:rowOff>883201</xdr:rowOff>
    </xdr:to>
    <xdr:pic>
      <xdr:nvPicPr>
        <xdr:cNvPr id="2" name="Picture 1" descr="TD2030 Logo.png">
          <a:extLst>
            <a:ext uri="{FF2B5EF4-FFF2-40B4-BE49-F238E27FC236}">
              <a16:creationId xmlns:a16="http://schemas.microsoft.com/office/drawing/2014/main" id="{937F5C60-7B8A-4556-81CB-F396A2FDF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1164264" cy="67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468939</xdr:colOff>
      <xdr:row>0</xdr:row>
      <xdr:rowOff>759376</xdr:rowOff>
    </xdr:to>
    <xdr:pic>
      <xdr:nvPicPr>
        <xdr:cNvPr id="2" name="Picture 1" descr="TD2030 Logo.png">
          <a:extLst>
            <a:ext uri="{FF2B5EF4-FFF2-40B4-BE49-F238E27FC236}">
              <a16:creationId xmlns:a16="http://schemas.microsoft.com/office/drawing/2014/main" id="{2A62DAD2-02FA-4364-99D1-6F3FEACC2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1164264" cy="673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723899</xdr:colOff>
      <xdr:row>7</xdr:row>
      <xdr:rowOff>188300</xdr:rowOff>
    </xdr:from>
    <xdr:to>
      <xdr:col>19</xdr:col>
      <xdr:colOff>0</xdr:colOff>
      <xdr:row>42</xdr:row>
      <xdr:rowOff>19050</xdr:rowOff>
    </xdr:to>
    <xdr:graphicFrame macro="">
      <xdr:nvGraphicFramePr>
        <xdr:cNvPr id="5" name="Chart 4">
          <a:extLst>
            <a:ext uri="{FF2B5EF4-FFF2-40B4-BE49-F238E27FC236}">
              <a16:creationId xmlns:a16="http://schemas.microsoft.com/office/drawing/2014/main" id="{B2B6B966-E095-475A-98E1-D854D3E8F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19</xdr:col>
      <xdr:colOff>0</xdr:colOff>
      <xdr:row>82</xdr:row>
      <xdr:rowOff>0</xdr:rowOff>
    </xdr:to>
    <xdr:graphicFrame macro="">
      <xdr:nvGraphicFramePr>
        <xdr:cNvPr id="14" name="Chart 10">
          <a:extLst>
            <a:ext uri="{FF2B5EF4-FFF2-40B4-BE49-F238E27FC236}">
              <a16:creationId xmlns:a16="http://schemas.microsoft.com/office/drawing/2014/main" id="{43A80A0F-2421-4DCE-C9D7-7218C6453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141849</xdr:colOff>
      <xdr:row>2</xdr:row>
      <xdr:rowOff>268942</xdr:rowOff>
    </xdr:from>
    <xdr:to>
      <xdr:col>13</xdr:col>
      <xdr:colOff>516182</xdr:colOff>
      <xdr:row>2</xdr:row>
      <xdr:rowOff>605118</xdr:rowOff>
    </xdr:to>
    <xdr:grpSp>
      <xdr:nvGrpSpPr>
        <xdr:cNvPr id="9" name="Group 8">
          <a:extLst>
            <a:ext uri="{FF2B5EF4-FFF2-40B4-BE49-F238E27FC236}">
              <a16:creationId xmlns:a16="http://schemas.microsoft.com/office/drawing/2014/main" id="{4823A6EB-316B-ADA8-2F6E-A3982D24DC3F}"/>
            </a:ext>
          </a:extLst>
        </xdr:cNvPr>
        <xdr:cNvGrpSpPr/>
      </xdr:nvGrpSpPr>
      <xdr:grpSpPr>
        <a:xfrm>
          <a:off x="10047849" y="983317"/>
          <a:ext cx="374333" cy="336176"/>
          <a:chOff x="3714957" y="908042"/>
          <a:chExt cx="376238" cy="246312"/>
        </a:xfrm>
      </xdr:grpSpPr>
      <xdr:pic>
        <xdr:nvPicPr>
          <xdr:cNvPr id="2" name="Picture 1">
            <a:extLst>
              <a:ext uri="{FF2B5EF4-FFF2-40B4-BE49-F238E27FC236}">
                <a16:creationId xmlns:a16="http://schemas.microsoft.com/office/drawing/2014/main" id="{19E17B7B-29AA-B6F6-6EE2-FE85A35F62E5}"/>
              </a:ext>
            </a:extLst>
          </xdr:cNvPr>
          <xdr:cNvPicPr>
            <a:picLocks noChangeAspect="1"/>
          </xdr:cNvPicPr>
        </xdr:nvPicPr>
        <xdr:blipFill>
          <a:blip xmlns:r="http://schemas.openxmlformats.org/officeDocument/2006/relationships" r:embed="rId3"/>
          <a:stretch>
            <a:fillRect/>
          </a:stretch>
        </xdr:blipFill>
        <xdr:spPr>
          <a:xfrm>
            <a:off x="3714957" y="908042"/>
            <a:ext cx="376238" cy="246312"/>
          </a:xfrm>
          <a:prstGeom prst="rect">
            <a:avLst/>
          </a:prstGeom>
        </xdr:spPr>
      </xdr:pic>
      <xdr:sp macro="" textlink="">
        <xdr:nvSpPr>
          <xdr:cNvPr id="3" name="Rectangle 2">
            <a:extLst>
              <a:ext uri="{FF2B5EF4-FFF2-40B4-BE49-F238E27FC236}">
                <a16:creationId xmlns:a16="http://schemas.microsoft.com/office/drawing/2014/main" id="{45E2B765-EF03-AAA7-36BD-ECD3375BF6E9}"/>
              </a:ext>
            </a:extLst>
          </xdr:cNvPr>
          <xdr:cNvSpPr/>
        </xdr:nvSpPr>
        <xdr:spPr>
          <a:xfrm>
            <a:off x="3876882" y="931854"/>
            <a:ext cx="200025" cy="193607"/>
          </a:xfrm>
          <a:prstGeom prst="rect">
            <a:avLst/>
          </a:prstGeom>
          <a:noFill/>
          <a:ln w="28575">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twoCellAnchor>
    <xdr:from>
      <xdr:col>8</xdr:col>
      <xdr:colOff>632268</xdr:colOff>
      <xdr:row>2</xdr:row>
      <xdr:rowOff>181927</xdr:rowOff>
    </xdr:from>
    <xdr:to>
      <xdr:col>9</xdr:col>
      <xdr:colOff>609712</xdr:colOff>
      <xdr:row>2</xdr:row>
      <xdr:rowOff>705971</xdr:rowOff>
    </xdr:to>
    <xdr:grpSp>
      <xdr:nvGrpSpPr>
        <xdr:cNvPr id="10" name="Group 9">
          <a:extLst>
            <a:ext uri="{FF2B5EF4-FFF2-40B4-BE49-F238E27FC236}">
              <a16:creationId xmlns:a16="http://schemas.microsoft.com/office/drawing/2014/main" id="{2F6C40F0-44B4-4AAE-E179-42377C846E66}"/>
            </a:ext>
          </a:extLst>
        </xdr:cNvPr>
        <xdr:cNvGrpSpPr/>
      </xdr:nvGrpSpPr>
      <xdr:grpSpPr>
        <a:xfrm>
          <a:off x="6728268" y="896302"/>
          <a:ext cx="739444" cy="524044"/>
          <a:chOff x="4767911" y="1290078"/>
          <a:chExt cx="737539" cy="438150"/>
        </a:xfrm>
      </xdr:grpSpPr>
      <xdr:pic>
        <xdr:nvPicPr>
          <xdr:cNvPr id="7" name="Picture 6">
            <a:extLst>
              <a:ext uri="{FF2B5EF4-FFF2-40B4-BE49-F238E27FC236}">
                <a16:creationId xmlns:a16="http://schemas.microsoft.com/office/drawing/2014/main" id="{5D460DBF-1A23-38EE-B5BC-501EEA040BF9}"/>
              </a:ext>
            </a:extLst>
          </xdr:cNvPr>
          <xdr:cNvPicPr>
            <a:picLocks noChangeAspect="1"/>
          </xdr:cNvPicPr>
        </xdr:nvPicPr>
        <xdr:blipFill rotWithShape="1">
          <a:blip xmlns:r="http://schemas.openxmlformats.org/officeDocument/2006/relationships" r:embed="rId4"/>
          <a:srcRect t="16240" b="21030"/>
          <a:stretch/>
        </xdr:blipFill>
        <xdr:spPr>
          <a:xfrm>
            <a:off x="4791075" y="1290078"/>
            <a:ext cx="714375" cy="403659"/>
          </a:xfrm>
          <a:prstGeom prst="rect">
            <a:avLst/>
          </a:prstGeom>
        </xdr:spPr>
      </xdr:pic>
      <xdr:sp macro="" textlink="">
        <xdr:nvSpPr>
          <xdr:cNvPr id="8" name="Rectangle 7">
            <a:extLst>
              <a:ext uri="{FF2B5EF4-FFF2-40B4-BE49-F238E27FC236}">
                <a16:creationId xmlns:a16="http://schemas.microsoft.com/office/drawing/2014/main" id="{6D28A2D1-B1BB-4644-9C28-B4C4B6AC321A}"/>
              </a:ext>
            </a:extLst>
          </xdr:cNvPr>
          <xdr:cNvSpPr/>
        </xdr:nvSpPr>
        <xdr:spPr>
          <a:xfrm>
            <a:off x="4767911" y="1296108"/>
            <a:ext cx="227951" cy="432120"/>
          </a:xfrm>
          <a:prstGeom prst="rect">
            <a:avLst/>
          </a:prstGeom>
          <a:noFill/>
          <a:ln w="28575">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ll2.sharepoint.com/Users/patrick.ferguson/Documents/Reporting/2015/BEPI%202015/Copy%20of%20RBC%20CAN%20BEPI%202015%20(V1.3).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jll2.sharepoint.com/teams/EnergyTeam-RBCAccount/Shared%20Documents/Proposed%20Share%20Drive%20migration/Reporting/Annual%20Portfolio%20Reporting%20(BEPI,%20MP,%20CF)/2018/BEPI/Practice%20-%20RBC%20CAN%20BEPI%202017%20(V1.0)%20-%2017OCT2017_PF%20R6.xlsm?CE1469C4" TargetMode="External"/><Relationship Id="rId1" Type="http://schemas.openxmlformats.org/officeDocument/2006/relationships/externalLinkPath" Target="file:///\\CE1469C4\Practice%20-%20RBC%20CAN%20BEPI%202017%20(V1.0)%20-%2017OCT2017_PF%20R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LCNCV10%20Templates%20v.2\LCNC1-0%20Letter%20Template%20v2_unlocked.xls"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purposebuilding.sharepoint.com/sites/projects/Shared%20Documents/General/20075A%20Broccolini%20HLS%20Development/4.%20Analysis%20&amp;%20Reporting/4.%20Performance%20Analysis/3.%20SPA%20(SD)/Energy%20Modeling%20Assumptions%20and%20Takeoff%20-%20Broccolini%20HLS.xlsx" TargetMode="External"/><Relationship Id="rId2" Type="http://schemas.microsoft.com/office/2019/04/relationships/externalLinkLongPath" Target="https://purposebuilding.sharepoint.com/sites/projects/Shared%20Documents/General/20075A%20Broccolini%20HLS%20Development/4.%20Analysis%20&amp;%20Reporting/4.%20Performance%20Analysis/3.%20SPA%20(SD)/Energy%20Modeling%20Assumptions%20and%20Takeoff%20-%20Broccolini%20HLS.xlsx?0E3067EB" TargetMode="External"/><Relationship Id="rId1" Type="http://schemas.openxmlformats.org/officeDocument/2006/relationships/externalLinkPath" Target="file:///\\0E3067EB\Energy%20Modeling%20Assumptions%20and%20Takeoff%20-%20Broccolini%20HL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ll2.sharepoint.com/teams/EnergyTeam-RBCAccount/Shared%20Documents/Proposed%20Share%20Drive%20migration/Reporting/Annual%20Portfolio%20Reporting%20(BEPI,%20MP,%20CF)/2018/MP%20Report/MP%20Utilities%202018%20CAN15OCT2018%20R8.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jll2.sharepoint.com/teams/EnergyTeam-RBCAccount/Shared%20Documents/Proposed%20Share%20Drive%20migration/Reporting/Annual%20Portfolio%20Reporting%20(BEPI,%20MP,%20CF)/2018/Carbon%20Footprint%20CAN%20Consumption%20Data%20for%202018%20-%2029OCT2018%20(V1.4)%20PUBLISHED.xlsx?5953319E" TargetMode="External"/><Relationship Id="rId1" Type="http://schemas.openxmlformats.org/officeDocument/2006/relationships/externalLinkPath" Target="file:///\\5953319E\Carbon%20Footprint%20CAN%20Consumption%20Data%20for%202018%20-%2029OCT2018%20(V1.4)%20PUBLISH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jll2.sharepoint.com/Users/patrick.ferguson/Documents/2017/MP%20Utilities/Data%20Requests/2017%20MP%20Data%20Canada%20and%20US%20(V1.2)%2017OCT2017_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Data - RawLeases"/>
      <sheetName val="14Data - Residential"/>
      <sheetName val="14Data - AllUtilities"/>
      <sheetName val="Cover"/>
      <sheetName val="14Data - Leasing"/>
      <sheetName val="RBD List"/>
      <sheetName val="2014Pivot"/>
      <sheetName val="FinalWeightedAreas"/>
      <sheetName val="2015_EnergyPivot"/>
      <sheetName val="Trend"/>
      <sheetName val="Total"/>
      <sheetName val="Electricity"/>
      <sheetName val="Gas"/>
      <sheetName val="Sheet1"/>
      <sheetName val="Oil"/>
      <sheetName val="Propane"/>
      <sheetName val="Water&amp;Sewer"/>
      <sheetName val="Gas Prices"/>
      <sheetName val="Sheet2"/>
      <sheetName val="graphs"/>
      <sheetName val="Conversion"/>
      <sheetName val="EUIbyCode"/>
      <sheetName val="ReadMe"/>
      <sheetName val="LightingRetro"/>
      <sheetName val="Log"/>
      <sheetName val="Energy Hog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G Site Inspection"/>
      <sheetName val="E Site Inspection"/>
      <sheetName val="Trend"/>
      <sheetName val="GasDuplicatesPivot"/>
      <sheetName val="ElecDuplicatesPivot"/>
      <sheetName val="Energy"/>
      <sheetName val="Water"/>
      <sheetName val="LeasePivot(step3)"/>
      <sheetName val="ElecPivot"/>
      <sheetName val="NGasPivot"/>
      <sheetName val="FOilPivot"/>
      <sheetName val="PropPivot"/>
      <sheetName val="2016QAStats"/>
      <sheetName val="CanWaterPivot"/>
      <sheetName val="WaterPivot2"/>
      <sheetName val="Conversion"/>
      <sheetName val="ReadMe"/>
      <sheetName val="Elec - Pivot"/>
      <sheetName val="LeasePivot (2018)"/>
      <sheetName val="Trend (2)"/>
      <sheetName val="Water (2)"/>
      <sheetName val="Energy (2)"/>
      <sheetName val="ElecPivot (2018)"/>
      <sheetName val="NGPivot (2018)"/>
      <sheetName val="FOilPivot (2018)"/>
      <sheetName val="PropPivot (2018)"/>
      <sheetName val="WaterPivot (2018)"/>
      <sheetName val="Site Validation"/>
      <sheetName val="LeasePivot (2017)"/>
      <sheetName val="ElecPivot (2017)"/>
      <sheetName val="Sheet6"/>
      <sheetName val="FOilPivot (2017)"/>
      <sheetName val="NGasPivot (2017)"/>
      <sheetName val="PropPivot (2017)"/>
      <sheetName val="WatrPivot (2017)"/>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ntents"/>
      <sheetName val="The Team"/>
      <sheetName val="Responsibility"/>
      <sheetName val="Credit Summary "/>
      <sheetName val="Project Info"/>
      <sheetName val="Submittal List"/>
      <sheetName val="SSp1"/>
      <sheetName val="SSc1"/>
      <sheetName val="SSc2"/>
      <sheetName val="SSc3"/>
      <sheetName val="SSc4.1"/>
      <sheetName val="SSc4.2"/>
      <sheetName val="SSc4.3"/>
      <sheetName val="SSc4.4"/>
      <sheetName val="SSc5.1"/>
      <sheetName val="SSc5.2"/>
      <sheetName val="SSc6.1"/>
      <sheetName val="SSc6.2"/>
      <sheetName val="SSc7.1"/>
      <sheetName val="SSc7.2"/>
      <sheetName val="SSc8"/>
      <sheetName val="WEc1.1"/>
      <sheetName val="WEc1.2"/>
      <sheetName val="WEc2"/>
      <sheetName val="WEc3"/>
      <sheetName val="EAp1"/>
      <sheetName val="EAp2"/>
      <sheetName val="EAp3"/>
      <sheetName val="EAc1"/>
      <sheetName val="EAc2"/>
      <sheetName val="EAc3"/>
      <sheetName val="EAc4"/>
      <sheetName val="EAc5"/>
      <sheetName val="EAc6"/>
      <sheetName val="MRp1"/>
      <sheetName val="MRc1"/>
      <sheetName val="MRc2"/>
      <sheetName val="MRc3"/>
      <sheetName val="MRc4"/>
      <sheetName val="MRc4-Concrete"/>
      <sheetName val="MRc5"/>
      <sheetName val="MRc6"/>
      <sheetName val="MRc7"/>
      <sheetName val="MRc8"/>
      <sheetName val="EQp1"/>
      <sheetName val="EQp2"/>
      <sheetName val="EQc1"/>
      <sheetName val="EQc2"/>
      <sheetName val="EQc3.1"/>
      <sheetName val="EQc3.2"/>
      <sheetName val="EQc4"/>
      <sheetName val="EQc5"/>
      <sheetName val="EQc6"/>
      <sheetName val="EQc7"/>
      <sheetName val="EQc8"/>
      <sheetName val="IDc1"/>
      <sheetName val="IDc2"/>
      <sheetName val="Credit Summary"/>
      <sheetName val="EQc6.1"/>
      <sheetName val="EQ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7">
          <cell r="X17">
            <v>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QAQC"/>
      <sheetName val="WIP.2022.09.08"/>
      <sheetName val="REV"/>
      <sheetName val="Team"/>
      <sheetName val="MFA.No Units"/>
      <sheetName val="Input Summary"/>
      <sheetName val="Results"/>
      <sheetName val="IES Raw"/>
      <sheetName val="Assumptions"/>
      <sheetName val="Sheet1"/>
      <sheetName val="Sheet2"/>
      <sheetName val="LPD Update 070922"/>
      <sheetName val="ECM Evaluation"/>
      <sheetName val="HVAC Flow rates"/>
      <sheetName val="Report to City"/>
      <sheetName val="Report"/>
      <sheetName val="DHW"/>
      <sheetName val="Elevators "/>
      <sheetName val="Geothermal Ground Temperature"/>
      <sheetName val="Average Window Calcs."/>
      <sheetName val="Loop Load Breakdown"/>
      <sheetName val="Conversion"/>
      <sheetName val="SIM"/>
      <sheetName val="Targets"/>
      <sheetName val="Assumptions old"/>
      <sheetName val="Spaces"/>
      <sheetName val="Area"/>
      <sheetName val="Heat Pump Sizes"/>
      <sheetName val="Infiltration"/>
      <sheetName val="Fan Pump"/>
      <sheetName val="ERV"/>
      <sheetName val="Ground Temp"/>
      <sheetName val="Defaults"/>
      <sheetName val="Submittal List"/>
      <sheetName val="Bill Rates"/>
      <sheetName val="TB"/>
      <sheetName val="Ext Lgt"/>
      <sheetName val="Process"/>
      <sheetName val="Utility"/>
      <sheetName val="Elevator"/>
      <sheetName val="Heat Balance"/>
      <sheetName val="Outputs Guide"/>
      <sheetName val="Sheet3"/>
      <sheetName val="WIP.2022.07.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F3">
            <v>0.05</v>
          </cell>
        </row>
        <row r="4">
          <cell r="F4">
            <v>0.183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Working Data 2014"/>
      <sheetName val="GhG Emissions Data"/>
      <sheetName val="2015_EnergyPivot"/>
      <sheetName val="Conversion Calcs"/>
      <sheetName val="MPDuplicatesGasPivot"/>
      <sheetName val="MPDuplicatesEPivot"/>
      <sheetName val="LeasePivot (2017)"/>
      <sheetName val="WatrPivot"/>
      <sheetName val="ElecPivot (2017)"/>
      <sheetName val="NGasPivot (2017)"/>
      <sheetName val="FOilPivot (2017)"/>
      <sheetName val="LeasePivot (2018)"/>
      <sheetName val="WorkingData 2018"/>
      <sheetName val="MP sqft 2018"/>
      <sheetName val="Consumption 2018"/>
      <sheetName val="MP_Pivot_2018"/>
      <sheetName val="WorkingData 2017"/>
      <sheetName val="Consumption 2017"/>
      <sheetName val="Consumption 2016"/>
      <sheetName val="Consumption 2015"/>
      <sheetName val="Consumption 2014"/>
      <sheetName val="Consumption 2013"/>
      <sheetName val="Benchmark Chart - Total"/>
      <sheetName val="5-yr Trend Largest MPs (2014)"/>
      <sheetName val="5-yr Trend MPs 50K-80K (2014) "/>
      <sheetName val="5-yr Trend MPs &lt;50k (2014)"/>
      <sheetName val="3-yr Trend Largest MPs (2012)"/>
      <sheetName val="3-yr Trend Ops Centres"/>
      <sheetName val="Working Data 2015"/>
      <sheetName val="Consumption 2012"/>
      <sheetName val="Consumption 2011"/>
      <sheetName val="Consumption 2007 (2)"/>
      <sheetName val="Consumption 2010"/>
      <sheetName val="Working Data 2013"/>
      <sheetName val="Working Data 2012"/>
      <sheetName val="Working Data 2011"/>
      <sheetName val="GHG Emissions"/>
      <sheetName val="Direct Meter - 2 Bloor Tor"/>
      <sheetName val="Electricity 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Data - Leasing"/>
      <sheetName val="Read Me"/>
      <sheetName val="PropPivot (2018)"/>
      <sheetName val="FOilPivot (2018)"/>
      <sheetName val="NGPivot (2018)"/>
      <sheetName val="ElecPivot (2018)"/>
      <sheetName val="LeaseCompare"/>
      <sheetName val="Sheet2"/>
      <sheetName val="Comparison1"/>
      <sheetName val="Comparison2"/>
      <sheetName val="Proxies2015"/>
      <sheetName val="FinalWeightedAreas"/>
      <sheetName val="PrimeUseBreakdown2015"/>
      <sheetName val="LeasePivot (2017)"/>
      <sheetName val="Proxies2017"/>
      <sheetName val="EstimatesModel2017New"/>
      <sheetName val="PrimeUseBreakdown2017"/>
      <sheetName val="MP_Pivot_2017"/>
      <sheetName val="PrimeUseBreakdown2017(2)"/>
      <sheetName val="PrimeUseBreakdown2018 (2)"/>
      <sheetName val="MP_Pivot_2018"/>
      <sheetName val="LeasePivot (2018)"/>
      <sheetName val="PrimeUseBreakdown2018(2)"/>
      <sheetName val="PrimeUseBreakdown2018"/>
      <sheetName val="EstimatesModel2018New(2)"/>
      <sheetName val="Proxies2018"/>
      <sheetName val="PrimeUseBreakdown2018 (3)"/>
      <sheetName val="EstimatesModel2017Old"/>
      <sheetName val="EstimatesModel2018Old"/>
      <sheetName val="2018"/>
      <sheetName val="2017"/>
      <sheetName val="SFbyDataSource 2018"/>
      <sheetName val="ConsByProv 2018"/>
      <sheetName val="ConsByCategory 2018"/>
      <sheetName val="ConsByProv"/>
      <sheetName val="ConsByCategory"/>
      <sheetName val="SFbyDataSource"/>
      <sheetName val="2016"/>
      <sheetName val="Proxies2016"/>
      <sheetName val="EstimatesModel2016New"/>
      <sheetName val="EstimatesModel2015"/>
      <sheetName val="EstimatesModel2016Old"/>
      <sheetName val="PrimeUseBreakdown2016(2)"/>
      <sheetName val="PrimeUseBreakdown2016"/>
      <sheetName val="2014_CLOSED"/>
      <sheetName val="2016Expired"/>
      <sheetName val="SF 2012_Vs_2011"/>
      <sheetName val="2015"/>
      <sheetName val="2014"/>
      <sheetName val="2013"/>
      <sheetName val="2012"/>
      <sheetName val="2011"/>
      <sheetName val="2010"/>
      <sheetName val="2009"/>
      <sheetName val="Conversions"/>
      <sheetName val="EUI"/>
      <sheetName val="Compare"/>
      <sheetName val="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anada2017"/>
      <sheetName val="US2017"/>
      <sheetName val="Canada"/>
      <sheetName val="315-325 Front"/>
      <sheetName val="Old PVM"/>
      <sheetName val="USPivot"/>
      <sheetName val="US"/>
      <sheetName val="Proratios"/>
      <sheetName val="Conversion Calcs"/>
      <sheetName val="Conver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Purpose Colours 2022">
  <a:themeElements>
    <a:clrScheme name="Custom 1">
      <a:dk1>
        <a:srgbClr val="333533"/>
      </a:dk1>
      <a:lt1>
        <a:srgbClr val="FEFFFF"/>
      </a:lt1>
      <a:dk2>
        <a:srgbClr val="333533"/>
      </a:dk2>
      <a:lt2>
        <a:srgbClr val="FEFFFF"/>
      </a:lt2>
      <a:accent1>
        <a:srgbClr val="3FB76D"/>
      </a:accent1>
      <a:accent2>
        <a:srgbClr val="509ED7"/>
      </a:accent2>
      <a:accent3>
        <a:srgbClr val="44C0C1"/>
      </a:accent3>
      <a:accent4>
        <a:srgbClr val="B271AF"/>
      </a:accent4>
      <a:accent5>
        <a:srgbClr val="F05A5B"/>
      </a:accent5>
      <a:accent6>
        <a:srgbClr val="F89C1B"/>
      </a:accent6>
      <a:hlink>
        <a:srgbClr val="8A8A8A"/>
      </a:hlink>
      <a:folHlink>
        <a:srgbClr val="333533"/>
      </a:folHlink>
    </a:clrScheme>
    <a:fontScheme name="PurposeFont">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66D7-EFE1-4C2D-B4EE-FB242B878A39}">
  <sheetPr>
    <tabColor theme="8" tint="0.59999389629810485"/>
  </sheetPr>
  <dimension ref="A1:U52"/>
  <sheetViews>
    <sheetView showGridLines="0" zoomScale="115" zoomScaleNormal="115" workbookViewId="0">
      <selection activeCell="E9" sqref="E9"/>
    </sheetView>
    <sheetView tabSelected="1" workbookViewId="1">
      <selection activeCell="K2" sqref="K2"/>
    </sheetView>
  </sheetViews>
  <sheetFormatPr defaultColWidth="8.77734375" defaultRowHeight="15.75" x14ac:dyDescent="0.3"/>
  <cols>
    <col min="1" max="1" width="11.77734375" customWidth="1"/>
    <col min="2" max="2" width="12.88671875" customWidth="1"/>
    <col min="3" max="3" width="65.88671875" style="1" bestFit="1" customWidth="1"/>
    <col min="7" max="8" width="14.77734375" customWidth="1"/>
  </cols>
  <sheetData>
    <row r="1" spans="1:21" ht="86.25" customHeight="1" x14ac:dyDescent="0.3">
      <c r="A1" s="291"/>
      <c r="B1" s="292"/>
      <c r="C1" s="293"/>
    </row>
    <row r="2" spans="1:21" ht="20.25" customHeight="1" x14ac:dyDescent="0.35">
      <c r="A2" s="294" t="s">
        <v>473</v>
      </c>
      <c r="B2" s="295"/>
      <c r="C2" s="296"/>
      <c r="D2" s="272"/>
      <c r="E2" s="272"/>
      <c r="G2" s="272"/>
      <c r="H2" s="272"/>
      <c r="I2" s="272"/>
      <c r="J2" s="272"/>
      <c r="K2" s="272"/>
      <c r="L2" s="272"/>
      <c r="M2" s="272"/>
      <c r="N2" s="272"/>
      <c r="O2" s="272"/>
      <c r="P2" s="272"/>
      <c r="Q2" s="272"/>
      <c r="R2" s="272"/>
      <c r="S2" s="272"/>
      <c r="T2" s="272"/>
      <c r="U2" s="272"/>
    </row>
    <row r="3" spans="1:21" x14ac:dyDescent="0.3">
      <c r="A3" s="277" t="s">
        <v>1</v>
      </c>
      <c r="B3" s="278">
        <v>45610</v>
      </c>
      <c r="C3"/>
    </row>
    <row r="5" spans="1:21" s="2" customFormat="1" ht="38.450000000000003" customHeight="1" x14ac:dyDescent="0.3">
      <c r="A5" s="308" t="s">
        <v>2</v>
      </c>
      <c r="B5" s="308"/>
      <c r="C5" s="4" t="s">
        <v>294</v>
      </c>
    </row>
    <row r="6" spans="1:21" s="2" customFormat="1" ht="15.75" customHeight="1" x14ac:dyDescent="0.3">
      <c r="B6" s="7"/>
      <c r="C6" s="6"/>
    </row>
    <row r="7" spans="1:21" s="2" customFormat="1" ht="81.95" customHeight="1" x14ac:dyDescent="0.3">
      <c r="A7" s="308" t="s">
        <v>496</v>
      </c>
      <c r="B7" s="308"/>
      <c r="C7" s="4" t="s">
        <v>297</v>
      </c>
    </row>
    <row r="8" spans="1:21" s="2" customFormat="1" x14ac:dyDescent="0.3">
      <c r="C8" s="3"/>
    </row>
    <row r="9" spans="1:21" s="2" customFormat="1" ht="94.5" x14ac:dyDescent="0.3">
      <c r="A9" s="308" t="s">
        <v>3</v>
      </c>
      <c r="B9" s="308"/>
      <c r="C9" s="4" t="s">
        <v>4</v>
      </c>
    </row>
    <row r="10" spans="1:21" s="2" customFormat="1" x14ac:dyDescent="0.3">
      <c r="C10" s="3"/>
    </row>
    <row r="11" spans="1:21" s="2" customFormat="1" ht="157.5" x14ac:dyDescent="0.3">
      <c r="A11" s="308" t="s">
        <v>5</v>
      </c>
      <c r="B11" s="308"/>
      <c r="C11" s="19" t="s">
        <v>497</v>
      </c>
    </row>
    <row r="13" spans="1:21" x14ac:dyDescent="0.3">
      <c r="A13" s="307" t="s">
        <v>8</v>
      </c>
      <c r="B13" s="5" t="s">
        <v>296</v>
      </c>
      <c r="C13" s="5" t="s">
        <v>6</v>
      </c>
    </row>
    <row r="14" spans="1:21" ht="30" customHeight="1" x14ac:dyDescent="0.3">
      <c r="A14" s="307"/>
      <c r="B14" s="4" t="s">
        <v>295</v>
      </c>
      <c r="C14" s="14"/>
    </row>
    <row r="15" spans="1:21" ht="30" customHeight="1" x14ac:dyDescent="0.3">
      <c r="A15" s="307"/>
      <c r="B15" s="4" t="s">
        <v>482</v>
      </c>
      <c r="C15" s="4" t="s">
        <v>481</v>
      </c>
    </row>
    <row r="16" spans="1:21" ht="30" customHeight="1" x14ac:dyDescent="0.3">
      <c r="A16" s="307"/>
      <c r="B16" s="4" t="s">
        <v>483</v>
      </c>
      <c r="C16" s="263" t="s">
        <v>486</v>
      </c>
    </row>
    <row r="17" spans="1:3" s="2" customFormat="1" x14ac:dyDescent="0.3">
      <c r="C17" s="3"/>
    </row>
    <row r="18" spans="1:3" s="2" customFormat="1" ht="19.149999999999999" customHeight="1" x14ac:dyDescent="0.3">
      <c r="A18" s="290" t="s">
        <v>450</v>
      </c>
      <c r="B18" s="290"/>
      <c r="C18" s="290"/>
    </row>
    <row r="19" spans="1:3" s="2" customFormat="1" x14ac:dyDescent="0.3">
      <c r="A19" s="273" t="s">
        <v>309</v>
      </c>
      <c r="B19" s="273" t="s">
        <v>451</v>
      </c>
      <c r="C19" s="274" t="s">
        <v>452</v>
      </c>
    </row>
    <row r="20" spans="1:3" ht="39.950000000000003" customHeight="1" x14ac:dyDescent="0.3">
      <c r="A20" s="297" t="s">
        <v>7</v>
      </c>
      <c r="B20" s="275" t="s">
        <v>453</v>
      </c>
      <c r="C20" s="276" t="s">
        <v>454</v>
      </c>
    </row>
    <row r="21" spans="1:3" ht="39.950000000000003" customHeight="1" x14ac:dyDescent="0.3">
      <c r="A21" s="298"/>
      <c r="B21" s="275" t="s">
        <v>455</v>
      </c>
      <c r="C21" s="276" t="s">
        <v>456</v>
      </c>
    </row>
    <row r="22" spans="1:3" ht="39.950000000000003" customHeight="1" x14ac:dyDescent="0.3">
      <c r="A22" s="298"/>
      <c r="B22" s="275" t="s">
        <v>457</v>
      </c>
      <c r="C22" s="276" t="s">
        <v>458</v>
      </c>
    </row>
    <row r="23" spans="1:3" ht="39.950000000000003" customHeight="1" x14ac:dyDescent="0.3">
      <c r="A23" s="299"/>
      <c r="B23" s="275" t="s">
        <v>459</v>
      </c>
      <c r="C23" s="276" t="s">
        <v>460</v>
      </c>
    </row>
    <row r="24" spans="1:3" ht="39.950000000000003" customHeight="1" x14ac:dyDescent="0.3">
      <c r="A24" s="302" t="s">
        <v>474</v>
      </c>
      <c r="B24" s="275" t="s">
        <v>461</v>
      </c>
      <c r="C24" s="276" t="s">
        <v>462</v>
      </c>
    </row>
    <row r="25" spans="1:3" ht="39.950000000000003" customHeight="1" x14ac:dyDescent="0.3">
      <c r="A25" s="303"/>
      <c r="B25" s="275" t="s">
        <v>463</v>
      </c>
      <c r="C25" s="276" t="s">
        <v>464</v>
      </c>
    </row>
    <row r="26" spans="1:3" ht="39.950000000000003" customHeight="1" x14ac:dyDescent="0.3">
      <c r="A26" s="303"/>
      <c r="B26" s="275" t="s">
        <v>465</v>
      </c>
      <c r="C26" s="276" t="s">
        <v>466</v>
      </c>
    </row>
    <row r="27" spans="1:3" ht="39.950000000000003" customHeight="1" x14ac:dyDescent="0.3">
      <c r="A27" s="303"/>
      <c r="B27" s="275" t="s">
        <v>467</v>
      </c>
      <c r="C27" s="276" t="s">
        <v>468</v>
      </c>
    </row>
    <row r="28" spans="1:3" ht="39.950000000000003" customHeight="1" x14ac:dyDescent="0.3">
      <c r="A28" s="304"/>
      <c r="B28" s="275" t="s">
        <v>469</v>
      </c>
      <c r="C28" s="276" t="s">
        <v>470</v>
      </c>
    </row>
    <row r="29" spans="1:3" ht="30" customHeight="1" x14ac:dyDescent="0.3">
      <c r="A29" s="305" t="s">
        <v>475</v>
      </c>
      <c r="B29" s="300" t="s">
        <v>471</v>
      </c>
      <c r="C29" s="301" t="s">
        <v>472</v>
      </c>
    </row>
    <row r="30" spans="1:3" ht="45.75" customHeight="1" x14ac:dyDescent="0.3">
      <c r="A30" s="306"/>
      <c r="B30" s="300"/>
      <c r="C30" s="301"/>
    </row>
    <row r="32" spans="1:3" x14ac:dyDescent="0.3">
      <c r="A32" s="290" t="s">
        <v>476</v>
      </c>
      <c r="B32" s="290"/>
      <c r="C32" s="290"/>
    </row>
    <row r="33" spans="1:3" x14ac:dyDescent="0.3">
      <c r="A33" s="281" t="s">
        <v>477</v>
      </c>
      <c r="C33"/>
    </row>
    <row r="34" spans="1:3" x14ac:dyDescent="0.3">
      <c r="A34" s="279" t="s">
        <v>479</v>
      </c>
      <c r="B34" t="s">
        <v>478</v>
      </c>
      <c r="C34"/>
    </row>
    <row r="35" spans="1:3" x14ac:dyDescent="0.3">
      <c r="A35" s="279" t="s">
        <v>479</v>
      </c>
      <c r="B35" t="s">
        <v>480</v>
      </c>
      <c r="C35"/>
    </row>
    <row r="36" spans="1:3" x14ac:dyDescent="0.3">
      <c r="B36" s="280"/>
      <c r="C36" s="280"/>
    </row>
    <row r="37" spans="1:3" x14ac:dyDescent="0.3">
      <c r="B37" s="280"/>
      <c r="C37" s="280"/>
    </row>
    <row r="38" spans="1:3" x14ac:dyDescent="0.3">
      <c r="B38" s="280"/>
      <c r="C38" s="280"/>
    </row>
    <row r="39" spans="1:3" x14ac:dyDescent="0.3">
      <c r="B39" s="280"/>
      <c r="C39" s="280"/>
    </row>
    <row r="40" spans="1:3" x14ac:dyDescent="0.3">
      <c r="B40" s="280"/>
      <c r="C40" s="280"/>
    </row>
    <row r="41" spans="1:3" x14ac:dyDescent="0.3">
      <c r="B41" s="280"/>
      <c r="C41" s="280"/>
    </row>
    <row r="42" spans="1:3" x14ac:dyDescent="0.3">
      <c r="B42" s="280"/>
      <c r="C42" s="280"/>
    </row>
    <row r="43" spans="1:3" x14ac:dyDescent="0.3">
      <c r="B43" s="280"/>
      <c r="C43" s="280"/>
    </row>
    <row r="44" spans="1:3" x14ac:dyDescent="0.3">
      <c r="B44" s="280"/>
      <c r="C44" s="280"/>
    </row>
    <row r="45" spans="1:3" x14ac:dyDescent="0.3">
      <c r="B45" s="280"/>
      <c r="C45" s="280"/>
    </row>
    <row r="46" spans="1:3" x14ac:dyDescent="0.3">
      <c r="B46" s="280"/>
      <c r="C46" s="280"/>
    </row>
    <row r="47" spans="1:3" x14ac:dyDescent="0.3">
      <c r="B47" s="280"/>
      <c r="C47" s="280"/>
    </row>
    <row r="48" spans="1:3" x14ac:dyDescent="0.3">
      <c r="B48" s="280"/>
      <c r="C48" s="280"/>
    </row>
    <row r="49" spans="2:3" x14ac:dyDescent="0.3">
      <c r="B49" s="280"/>
      <c r="C49" s="280"/>
    </row>
    <row r="50" spans="2:3" x14ac:dyDescent="0.3">
      <c r="B50" s="280"/>
      <c r="C50" s="280"/>
    </row>
    <row r="51" spans="2:3" x14ac:dyDescent="0.3">
      <c r="B51" s="280"/>
      <c r="C51" s="280"/>
    </row>
    <row r="52" spans="2:3" x14ac:dyDescent="0.3">
      <c r="B52" s="280"/>
      <c r="C52" s="280"/>
    </row>
  </sheetData>
  <mergeCells count="14">
    <mergeCell ref="A32:C32"/>
    <mergeCell ref="A1:C1"/>
    <mergeCell ref="A2:C2"/>
    <mergeCell ref="A20:A23"/>
    <mergeCell ref="B29:B30"/>
    <mergeCell ref="C29:C30"/>
    <mergeCell ref="A24:A28"/>
    <mergeCell ref="A29:A30"/>
    <mergeCell ref="A13:A16"/>
    <mergeCell ref="A5:B5"/>
    <mergeCell ref="A7:B7"/>
    <mergeCell ref="A11:B11"/>
    <mergeCell ref="A9:B9"/>
    <mergeCell ref="A18:C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F26-B8AC-4E2F-B779-FD458C567102}">
  <sheetPr>
    <tabColor theme="8" tint="0.59999389629810485"/>
  </sheetPr>
  <dimension ref="A1:O85"/>
  <sheetViews>
    <sheetView showGridLines="0" topLeftCell="A29" zoomScaleNormal="100" workbookViewId="0">
      <selection activeCell="D29" sqref="D29"/>
    </sheetView>
    <sheetView zoomScale="70" zoomScaleNormal="70" workbookViewId="1">
      <selection activeCell="E5" sqref="E5"/>
    </sheetView>
  </sheetViews>
  <sheetFormatPr defaultRowHeight="15.75" x14ac:dyDescent="0.3"/>
  <cols>
    <col min="2" max="2" width="20.33203125" customWidth="1"/>
    <col min="3" max="3" width="17.6640625" customWidth="1"/>
    <col min="4" max="4" width="11.6640625" customWidth="1"/>
    <col min="5" max="5" width="9.21875" customWidth="1"/>
    <col min="6" max="6" width="8.88671875" customWidth="1"/>
    <col min="7" max="7" width="17.5546875" customWidth="1"/>
    <col min="8" max="8" width="12.21875" customWidth="1"/>
    <col min="9" max="10" width="11.6640625" customWidth="1"/>
    <col min="11" max="11" width="58.109375" customWidth="1"/>
  </cols>
  <sheetData>
    <row r="1" spans="1:15" ht="62.25" customHeight="1" x14ac:dyDescent="0.3">
      <c r="A1" s="311"/>
      <c r="B1" s="311"/>
      <c r="C1" s="311"/>
      <c r="D1" s="311"/>
      <c r="E1" s="311"/>
      <c r="F1" s="311"/>
      <c r="G1" s="311"/>
      <c r="H1" s="311"/>
      <c r="I1" s="311"/>
      <c r="J1" s="311"/>
      <c r="K1" s="311"/>
      <c r="L1" s="311"/>
      <c r="M1" s="311"/>
      <c r="N1" s="311"/>
      <c r="O1" s="311"/>
    </row>
    <row r="2" spans="1:15" ht="20.25" customHeight="1" x14ac:dyDescent="0.35">
      <c r="A2" s="312" t="s">
        <v>9</v>
      </c>
      <c r="B2" s="312"/>
      <c r="C2" s="312"/>
      <c r="D2" s="312"/>
      <c r="E2" s="312"/>
      <c r="F2" s="312"/>
      <c r="G2" s="312"/>
      <c r="H2" s="312"/>
      <c r="I2" s="312"/>
      <c r="J2" s="312"/>
      <c r="K2" s="312"/>
      <c r="L2" s="312"/>
      <c r="M2" s="312"/>
      <c r="N2" s="312"/>
      <c r="O2" s="312"/>
    </row>
    <row r="3" spans="1:15" ht="15" customHeight="1" thickBot="1" x14ac:dyDescent="0.35"/>
    <row r="4" spans="1:15" ht="31.5" customHeight="1" x14ac:dyDescent="0.3">
      <c r="B4" s="309" t="s">
        <v>10</v>
      </c>
      <c r="C4" s="310"/>
    </row>
    <row r="5" spans="1:15" ht="15" customHeight="1" x14ac:dyDescent="0.3">
      <c r="B5" s="32" t="s">
        <v>11</v>
      </c>
      <c r="C5" s="30">
        <v>10.7639</v>
      </c>
    </row>
    <row r="6" spans="1:15" ht="15" customHeight="1" x14ac:dyDescent="0.3">
      <c r="B6" s="32" t="s">
        <v>12</v>
      </c>
      <c r="C6" s="30">
        <v>3.415</v>
      </c>
    </row>
    <row r="7" spans="1:15" ht="16.5" thickBot="1" x14ac:dyDescent="0.35">
      <c r="B7" s="33" t="s">
        <v>13</v>
      </c>
      <c r="C7" s="31">
        <f>1/12</f>
        <v>8.3333333333333329E-2</v>
      </c>
    </row>
    <row r="8" spans="1:15" ht="15" customHeight="1" x14ac:dyDescent="0.3"/>
    <row r="9" spans="1:15" ht="20.25" customHeight="1" x14ac:dyDescent="0.35">
      <c r="A9" s="312" t="s">
        <v>14</v>
      </c>
      <c r="B9" s="312"/>
      <c r="C9" s="312"/>
      <c r="D9" s="312"/>
      <c r="E9" s="312"/>
      <c r="F9" s="312"/>
      <c r="G9" s="312"/>
      <c r="H9" s="312"/>
      <c r="I9" s="312"/>
      <c r="J9" s="312"/>
      <c r="K9" s="312"/>
      <c r="L9" s="312"/>
      <c r="M9" s="312"/>
      <c r="N9" s="312"/>
      <c r="O9" s="312"/>
    </row>
    <row r="10" spans="1:15" ht="14.65" customHeight="1" thickBot="1" x14ac:dyDescent="0.35"/>
    <row r="11" spans="1:15" ht="36.950000000000003" customHeight="1" x14ac:dyDescent="0.3">
      <c r="B11" s="309" t="s">
        <v>373</v>
      </c>
      <c r="C11" s="310"/>
      <c r="K11" s="289" t="s">
        <v>17</v>
      </c>
    </row>
    <row r="12" spans="1:15" ht="39.950000000000003" customHeight="1" x14ac:dyDescent="0.3">
      <c r="B12" s="267">
        <v>1</v>
      </c>
      <c r="C12" s="238" t="s">
        <v>67</v>
      </c>
      <c r="K12" s="288" t="s">
        <v>426</v>
      </c>
    </row>
    <row r="13" spans="1:15" ht="39.950000000000003" customHeight="1" x14ac:dyDescent="0.3">
      <c r="B13" s="267">
        <v>2</v>
      </c>
      <c r="C13" s="238" t="s">
        <v>68</v>
      </c>
      <c r="K13" s="288" t="s">
        <v>422</v>
      </c>
    </row>
    <row r="14" spans="1:15" ht="39.950000000000003" customHeight="1" x14ac:dyDescent="0.3">
      <c r="B14" s="267">
        <v>3</v>
      </c>
      <c r="C14" s="238" t="s">
        <v>69</v>
      </c>
      <c r="K14" s="288" t="s">
        <v>424</v>
      </c>
    </row>
    <row r="15" spans="1:15" ht="39.950000000000003" customHeight="1" x14ac:dyDescent="0.3">
      <c r="B15" s="267">
        <v>4</v>
      </c>
      <c r="C15" s="238"/>
      <c r="K15" s="288"/>
    </row>
    <row r="16" spans="1:15" ht="39.950000000000003" customHeight="1" x14ac:dyDescent="0.3">
      <c r="B16" s="267">
        <v>5</v>
      </c>
      <c r="C16" s="238"/>
      <c r="K16" s="288"/>
    </row>
    <row r="17" spans="2:11" ht="39.950000000000003" customHeight="1" x14ac:dyDescent="0.3">
      <c r="B17" s="267">
        <v>6</v>
      </c>
      <c r="C17" s="238"/>
      <c r="K17" s="288"/>
    </row>
    <row r="18" spans="2:11" ht="39.950000000000003" customHeight="1" x14ac:dyDescent="0.3">
      <c r="B18" s="267">
        <v>7</v>
      </c>
      <c r="C18" s="238"/>
      <c r="K18" s="288"/>
    </row>
    <row r="19" spans="2:11" ht="39.950000000000003" customHeight="1" x14ac:dyDescent="0.3">
      <c r="B19" s="267">
        <v>8</v>
      </c>
      <c r="C19" s="238"/>
      <c r="K19" s="288"/>
    </row>
    <row r="20" spans="2:11" ht="39.950000000000003" customHeight="1" thickBot="1" x14ac:dyDescent="0.35">
      <c r="B20" s="268">
        <v>9</v>
      </c>
      <c r="C20" s="22"/>
      <c r="K20" s="288"/>
    </row>
    <row r="21" spans="2:11" ht="15" customHeight="1" thickBot="1" x14ac:dyDescent="0.35"/>
    <row r="22" spans="2:11" ht="31.5" customHeight="1" x14ac:dyDescent="0.3">
      <c r="B22" s="29" t="s">
        <v>443</v>
      </c>
      <c r="C22" s="284" t="s">
        <v>15</v>
      </c>
      <c r="D22" s="284" t="s">
        <v>444</v>
      </c>
      <c r="E22" s="285" t="s">
        <v>16</v>
      </c>
      <c r="K22" s="289" t="s">
        <v>17</v>
      </c>
    </row>
    <row r="23" spans="2:11" ht="39.950000000000003" customHeight="1" x14ac:dyDescent="0.3">
      <c r="B23" s="34" t="s">
        <v>356</v>
      </c>
      <c r="C23" s="35" t="s">
        <v>18</v>
      </c>
      <c r="D23" s="23">
        <v>0.1</v>
      </c>
      <c r="E23" s="24">
        <f>D23</f>
        <v>0.1</v>
      </c>
      <c r="K23" s="288"/>
    </row>
    <row r="24" spans="2:11" ht="39.950000000000003" customHeight="1" x14ac:dyDescent="0.3">
      <c r="B24" s="34" t="s">
        <v>357</v>
      </c>
      <c r="C24" s="35" t="s">
        <v>18</v>
      </c>
      <c r="D24" s="23">
        <v>0.2</v>
      </c>
      <c r="E24" s="24">
        <f t="shared" ref="E24:E25" si="0">D24</f>
        <v>0.2</v>
      </c>
      <c r="K24" s="288"/>
    </row>
    <row r="25" spans="2:11" ht="39.950000000000003" customHeight="1" x14ac:dyDescent="0.3">
      <c r="B25" s="34" t="s">
        <v>358</v>
      </c>
      <c r="C25" s="35" t="s">
        <v>18</v>
      </c>
      <c r="D25" s="23">
        <v>0.15</v>
      </c>
      <c r="E25" s="24">
        <f t="shared" si="0"/>
        <v>0.15</v>
      </c>
      <c r="K25" s="288"/>
    </row>
    <row r="26" spans="2:11" ht="39.950000000000003" customHeight="1" thickBot="1" x14ac:dyDescent="0.35">
      <c r="B26" s="36" t="s">
        <v>19</v>
      </c>
      <c r="C26" s="37" t="s">
        <v>18</v>
      </c>
      <c r="D26" s="25">
        <v>0.13</v>
      </c>
      <c r="E26" s="26">
        <f t="shared" ref="E26" si="1">D26+1</f>
        <v>1.1299999999999999</v>
      </c>
      <c r="K26" s="288"/>
    </row>
    <row r="27" spans="2:11" ht="16.5" thickBot="1" x14ac:dyDescent="0.35">
      <c r="B27" s="313" t="s">
        <v>20</v>
      </c>
      <c r="C27" s="314"/>
      <c r="D27" s="315"/>
      <c r="E27" s="27">
        <f>(SUM(E23:E25)+1)*E26</f>
        <v>1.6385000000000001</v>
      </c>
    </row>
    <row r="28" spans="2:11" ht="16.5" thickBot="1" x14ac:dyDescent="0.35">
      <c r="G28" s="283"/>
    </row>
    <row r="29" spans="2:11" ht="63" x14ac:dyDescent="0.3">
      <c r="B29" s="286" t="s">
        <v>382</v>
      </c>
      <c r="C29" s="287" t="s">
        <v>15</v>
      </c>
      <c r="D29" s="284" t="s">
        <v>383</v>
      </c>
      <c r="E29" s="284" t="s">
        <v>384</v>
      </c>
      <c r="F29" s="284" t="s">
        <v>385</v>
      </c>
      <c r="G29" s="284" t="s">
        <v>490</v>
      </c>
      <c r="H29" s="284" t="s">
        <v>416</v>
      </c>
      <c r="I29" s="285" t="s">
        <v>414</v>
      </c>
      <c r="K29" s="289" t="s">
        <v>17</v>
      </c>
    </row>
    <row r="30" spans="2:11" ht="39.950000000000003" customHeight="1" x14ac:dyDescent="0.3">
      <c r="B30" s="249" t="s">
        <v>386</v>
      </c>
      <c r="C30" s="242" t="s">
        <v>387</v>
      </c>
      <c r="D30" s="243">
        <v>0.16</v>
      </c>
      <c r="E30" s="244">
        <v>1</v>
      </c>
      <c r="F30" s="245">
        <f>+D30/E30</f>
        <v>0.16</v>
      </c>
      <c r="G30" s="234">
        <v>50</v>
      </c>
      <c r="H30" s="245">
        <f>+$C$52*G30/1000000</f>
        <v>4.0000000000000001E-3</v>
      </c>
      <c r="I30" s="264">
        <f>+$C$50*G30/1000000</f>
        <v>1.5625E-2</v>
      </c>
      <c r="K30" s="288" t="s">
        <v>417</v>
      </c>
    </row>
    <row r="31" spans="2:11" ht="39.950000000000003" customHeight="1" x14ac:dyDescent="0.3">
      <c r="B31" s="249" t="s">
        <v>388</v>
      </c>
      <c r="C31" s="242" t="s">
        <v>389</v>
      </c>
      <c r="D31" s="243">
        <v>0.4</v>
      </c>
      <c r="E31" s="244">
        <v>10.639800703399764</v>
      </c>
      <c r="F31" s="245">
        <f>+D31/E31</f>
        <v>3.7594689144147875E-2</v>
      </c>
      <c r="G31" s="234">
        <v>200</v>
      </c>
      <c r="H31" s="245">
        <f>+$C$52*G31/1000000</f>
        <v>1.6E-2</v>
      </c>
      <c r="I31" s="264">
        <f>+$C$50*G31/1000000</f>
        <v>6.25E-2</v>
      </c>
      <c r="K31" s="288" t="s">
        <v>417</v>
      </c>
    </row>
    <row r="32" spans="2:11" ht="46.5" customHeight="1" x14ac:dyDescent="0.3">
      <c r="B32" s="249" t="s">
        <v>390</v>
      </c>
      <c r="C32" s="242" t="s">
        <v>389</v>
      </c>
      <c r="D32" s="243">
        <v>1.08</v>
      </c>
      <c r="E32" s="244">
        <v>10.639800703399764</v>
      </c>
      <c r="F32" s="245">
        <f>+D32/E32</f>
        <v>0.10150566068919925</v>
      </c>
      <c r="G32" s="234">
        <v>50</v>
      </c>
      <c r="H32" s="245">
        <f>+$C$52*G32/1000000</f>
        <v>4.0000000000000001E-3</v>
      </c>
      <c r="I32" s="264">
        <f>+$C$50*G32/1000000</f>
        <v>1.5625E-2</v>
      </c>
      <c r="K32" s="288" t="s">
        <v>418</v>
      </c>
    </row>
    <row r="33" spans="2:11" ht="62.25" customHeight="1" thickBot="1" x14ac:dyDescent="0.35">
      <c r="B33" s="250" t="s">
        <v>391</v>
      </c>
      <c r="C33" s="246" t="s">
        <v>387</v>
      </c>
      <c r="D33" s="247">
        <v>0.19</v>
      </c>
      <c r="E33" s="236">
        <v>1</v>
      </c>
      <c r="F33" s="248">
        <f>+D33/E33</f>
        <v>0.19</v>
      </c>
      <c r="G33" s="236">
        <f>G30/(70%)</f>
        <v>71.428571428571431</v>
      </c>
      <c r="H33" s="248">
        <f>+$C$52*G33/1000000</f>
        <v>5.7142857142857143E-3</v>
      </c>
      <c r="I33" s="265">
        <f>+$C$50*G33/1000000</f>
        <v>2.2321428571428572E-2</v>
      </c>
      <c r="K33" s="288" t="s">
        <v>419</v>
      </c>
    </row>
    <row r="34" spans="2:11" ht="14.65" customHeight="1" thickBot="1" x14ac:dyDescent="0.35"/>
    <row r="35" spans="2:11" ht="31.5" customHeight="1" x14ac:dyDescent="0.3">
      <c r="B35" s="309" t="s">
        <v>370</v>
      </c>
      <c r="C35" s="310"/>
      <c r="K35" s="289" t="s">
        <v>17</v>
      </c>
    </row>
    <row r="36" spans="2:11" ht="40.15" customHeight="1" thickBot="1" x14ac:dyDescent="0.35">
      <c r="B36" s="33" t="s">
        <v>371</v>
      </c>
      <c r="C36" s="22">
        <v>4300</v>
      </c>
      <c r="K36" s="288" t="s">
        <v>445</v>
      </c>
    </row>
    <row r="37" spans="2:11" ht="14.65" customHeight="1" thickBot="1" x14ac:dyDescent="0.35"/>
    <row r="38" spans="2:11" ht="40.15" customHeight="1" x14ac:dyDescent="0.3">
      <c r="B38" s="309" t="s">
        <v>21</v>
      </c>
      <c r="C38" s="310"/>
      <c r="K38" s="289" t="s">
        <v>17</v>
      </c>
    </row>
    <row r="39" spans="2:11" ht="40.15" customHeight="1" thickBot="1" x14ac:dyDescent="0.35">
      <c r="B39" s="33" t="s">
        <v>22</v>
      </c>
      <c r="C39" s="38">
        <v>0.05</v>
      </c>
      <c r="K39" s="288"/>
    </row>
    <row r="40" spans="2:11" ht="16.5" thickBot="1" x14ac:dyDescent="0.35"/>
    <row r="41" spans="2:11" ht="31.5" x14ac:dyDescent="0.3">
      <c r="B41" s="29" t="s">
        <v>23</v>
      </c>
      <c r="C41" s="284" t="s">
        <v>24</v>
      </c>
      <c r="D41" s="285" t="s">
        <v>25</v>
      </c>
      <c r="K41" s="289" t="s">
        <v>17</v>
      </c>
    </row>
    <row r="42" spans="2:11" ht="39.950000000000003" customHeight="1" x14ac:dyDescent="0.3">
      <c r="B42" s="34" t="s">
        <v>369</v>
      </c>
      <c r="C42" s="234">
        <v>20</v>
      </c>
      <c r="D42" s="235">
        <f t="shared" ref="D42:D47" si="2">($C$39*((1+$C$39)^C42))/(((1+$C$39)^C42)-1)</f>
        <v>8.0242587190691314E-2</v>
      </c>
      <c r="K42" s="288" t="s">
        <v>367</v>
      </c>
    </row>
    <row r="43" spans="2:11" ht="39.950000000000003" customHeight="1" x14ac:dyDescent="0.3">
      <c r="B43" s="34" t="s">
        <v>26</v>
      </c>
      <c r="C43" s="234">
        <f>MIN(0.25*50+0.25*30+0.5*20,30)</f>
        <v>30</v>
      </c>
      <c r="D43" s="235">
        <f t="shared" si="2"/>
        <v>6.5051435080276582E-2</v>
      </c>
      <c r="K43" s="288" t="s">
        <v>27</v>
      </c>
    </row>
    <row r="44" spans="2:11" ht="39.950000000000003" customHeight="1" x14ac:dyDescent="0.3">
      <c r="B44" s="34" t="s">
        <v>28</v>
      </c>
      <c r="C44" s="234">
        <f>MIN(0.25*50+0.25*30+0.5*20,30)</f>
        <v>30</v>
      </c>
      <c r="D44" s="235">
        <f t="shared" si="2"/>
        <v>6.5051435080276582E-2</v>
      </c>
      <c r="K44" s="288" t="s">
        <v>29</v>
      </c>
    </row>
    <row r="45" spans="2:11" ht="39.950000000000003" customHeight="1" x14ac:dyDescent="0.3">
      <c r="B45" s="34" t="s">
        <v>30</v>
      </c>
      <c r="C45" s="234">
        <f>MIN(0.5*50+0.5*20,30)</f>
        <v>30</v>
      </c>
      <c r="D45" s="235">
        <f t="shared" si="2"/>
        <v>6.5051435080276582E-2</v>
      </c>
      <c r="K45" s="288" t="s">
        <v>31</v>
      </c>
    </row>
    <row r="46" spans="2:11" ht="39.950000000000003" customHeight="1" x14ac:dyDescent="0.3">
      <c r="B46" s="34" t="s">
        <v>32</v>
      </c>
      <c r="C46" s="234">
        <f>+C45</f>
        <v>30</v>
      </c>
      <c r="D46" s="235">
        <f t="shared" si="2"/>
        <v>6.5051435080276582E-2</v>
      </c>
      <c r="K46" s="288" t="s">
        <v>31</v>
      </c>
    </row>
    <row r="47" spans="2:11" ht="39.950000000000003" customHeight="1" thickBot="1" x14ac:dyDescent="0.35">
      <c r="B47" s="36" t="s">
        <v>33</v>
      </c>
      <c r="C47" s="236">
        <f>MIN(0.8*50+0.2*20,30)</f>
        <v>30</v>
      </c>
      <c r="D47" s="237">
        <f t="shared" si="2"/>
        <v>6.5051435080276582E-2</v>
      </c>
      <c r="K47" s="288" t="s">
        <v>34</v>
      </c>
    </row>
    <row r="48" spans="2:11" ht="16.5" thickBot="1" x14ac:dyDescent="0.35"/>
    <row r="49" spans="2:11" ht="31.5" customHeight="1" x14ac:dyDescent="0.3">
      <c r="B49" s="29" t="s">
        <v>35</v>
      </c>
      <c r="C49" s="285" t="s">
        <v>36</v>
      </c>
      <c r="K49" s="289" t="s">
        <v>17</v>
      </c>
    </row>
    <row r="50" spans="2:11" ht="39.950000000000003" customHeight="1" thickBot="1" x14ac:dyDescent="0.35">
      <c r="B50" s="33" t="s">
        <v>37</v>
      </c>
      <c r="C50" s="22">
        <f>+AVERAGE(C54:C85)</f>
        <v>312.5</v>
      </c>
      <c r="K50" s="288" t="s">
        <v>38</v>
      </c>
    </row>
    <row r="51" spans="2:11" ht="31.5" customHeight="1" x14ac:dyDescent="0.3">
      <c r="B51" s="29" t="s">
        <v>446</v>
      </c>
      <c r="C51" s="285" t="s">
        <v>36</v>
      </c>
    </row>
    <row r="52" spans="2:11" ht="39.950000000000003" customHeight="1" thickBot="1" x14ac:dyDescent="0.35">
      <c r="B52" s="271">
        <v>2024</v>
      </c>
      <c r="C52" s="240">
        <f>VLOOKUP(B52,B54:C85,2,FALSE)</f>
        <v>80</v>
      </c>
      <c r="G52" s="6"/>
      <c r="H52" s="6"/>
      <c r="I52" s="6"/>
      <c r="J52" s="6"/>
      <c r="K52" s="6"/>
    </row>
    <row r="53" spans="2:11" ht="16.5" thickBot="1" x14ac:dyDescent="0.35"/>
    <row r="54" spans="2:11" x14ac:dyDescent="0.3">
      <c r="B54" s="39">
        <v>2024</v>
      </c>
      <c r="C54" s="239">
        <f t="shared" ref="C54:C58" si="3">+C55-15</f>
        <v>80</v>
      </c>
    </row>
    <row r="55" spans="2:11" x14ac:dyDescent="0.3">
      <c r="B55" s="32">
        <v>2025</v>
      </c>
      <c r="C55" s="238">
        <f t="shared" si="3"/>
        <v>95</v>
      </c>
    </row>
    <row r="56" spans="2:11" x14ac:dyDescent="0.3">
      <c r="B56" s="32">
        <v>2026</v>
      </c>
      <c r="C56" s="238">
        <f t="shared" si="3"/>
        <v>110</v>
      </c>
    </row>
    <row r="57" spans="2:11" x14ac:dyDescent="0.3">
      <c r="B57" s="32">
        <v>2027</v>
      </c>
      <c r="C57" s="238">
        <f t="shared" si="3"/>
        <v>125</v>
      </c>
    </row>
    <row r="58" spans="2:11" x14ac:dyDescent="0.3">
      <c r="B58" s="32">
        <v>2028</v>
      </c>
      <c r="C58" s="238">
        <f t="shared" si="3"/>
        <v>140</v>
      </c>
    </row>
    <row r="59" spans="2:11" x14ac:dyDescent="0.3">
      <c r="B59" s="32">
        <v>2029</v>
      </c>
      <c r="C59" s="238">
        <f>+C60-15</f>
        <v>155</v>
      </c>
    </row>
    <row r="60" spans="2:11" x14ac:dyDescent="0.3">
      <c r="B60" s="32">
        <v>2030</v>
      </c>
      <c r="C60" s="238">
        <v>170</v>
      </c>
    </row>
    <row r="61" spans="2:11" x14ac:dyDescent="0.3">
      <c r="B61" s="32">
        <v>2031</v>
      </c>
      <c r="C61" s="238">
        <f>+C60+15</f>
        <v>185</v>
      </c>
    </row>
    <row r="62" spans="2:11" x14ac:dyDescent="0.3">
      <c r="B62" s="32">
        <v>2032</v>
      </c>
      <c r="C62" s="238">
        <f t="shared" ref="C62:C85" si="4">+C61+15</f>
        <v>200</v>
      </c>
    </row>
    <row r="63" spans="2:11" x14ac:dyDescent="0.3">
      <c r="B63" s="32">
        <v>2033</v>
      </c>
      <c r="C63" s="238">
        <f t="shared" si="4"/>
        <v>215</v>
      </c>
    </row>
    <row r="64" spans="2:11" x14ac:dyDescent="0.3">
      <c r="B64" s="32">
        <v>2034</v>
      </c>
      <c r="C64" s="238">
        <f t="shared" si="4"/>
        <v>230</v>
      </c>
    </row>
    <row r="65" spans="2:3" x14ac:dyDescent="0.3">
      <c r="B65" s="32">
        <v>2035</v>
      </c>
      <c r="C65" s="238">
        <f t="shared" si="4"/>
        <v>245</v>
      </c>
    </row>
    <row r="66" spans="2:3" x14ac:dyDescent="0.3">
      <c r="B66" s="32">
        <v>2036</v>
      </c>
      <c r="C66" s="238">
        <f t="shared" si="4"/>
        <v>260</v>
      </c>
    </row>
    <row r="67" spans="2:3" x14ac:dyDescent="0.3">
      <c r="B67" s="32">
        <v>2037</v>
      </c>
      <c r="C67" s="238">
        <f t="shared" si="4"/>
        <v>275</v>
      </c>
    </row>
    <row r="68" spans="2:3" x14ac:dyDescent="0.3">
      <c r="B68" s="32">
        <v>2038</v>
      </c>
      <c r="C68" s="238">
        <f t="shared" si="4"/>
        <v>290</v>
      </c>
    </row>
    <row r="69" spans="2:3" x14ac:dyDescent="0.3">
      <c r="B69" s="32">
        <v>2039</v>
      </c>
      <c r="C69" s="238">
        <f t="shared" si="4"/>
        <v>305</v>
      </c>
    </row>
    <row r="70" spans="2:3" x14ac:dyDescent="0.3">
      <c r="B70" s="32">
        <v>2040</v>
      </c>
      <c r="C70" s="238">
        <f t="shared" si="4"/>
        <v>320</v>
      </c>
    </row>
    <row r="71" spans="2:3" x14ac:dyDescent="0.3">
      <c r="B71" s="32">
        <v>2041</v>
      </c>
      <c r="C71" s="238">
        <f t="shared" si="4"/>
        <v>335</v>
      </c>
    </row>
    <row r="72" spans="2:3" x14ac:dyDescent="0.3">
      <c r="B72" s="32">
        <v>2042</v>
      </c>
      <c r="C72" s="238">
        <f t="shared" si="4"/>
        <v>350</v>
      </c>
    </row>
    <row r="73" spans="2:3" x14ac:dyDescent="0.3">
      <c r="B73" s="32">
        <v>2043</v>
      </c>
      <c r="C73" s="238">
        <f t="shared" si="4"/>
        <v>365</v>
      </c>
    </row>
    <row r="74" spans="2:3" x14ac:dyDescent="0.3">
      <c r="B74" s="32">
        <v>2044</v>
      </c>
      <c r="C74" s="238">
        <f t="shared" si="4"/>
        <v>380</v>
      </c>
    </row>
    <row r="75" spans="2:3" x14ac:dyDescent="0.3">
      <c r="B75" s="32">
        <v>2045</v>
      </c>
      <c r="C75" s="238">
        <f t="shared" si="4"/>
        <v>395</v>
      </c>
    </row>
    <row r="76" spans="2:3" x14ac:dyDescent="0.3">
      <c r="B76" s="32">
        <v>2046</v>
      </c>
      <c r="C76" s="238">
        <f t="shared" si="4"/>
        <v>410</v>
      </c>
    </row>
    <row r="77" spans="2:3" x14ac:dyDescent="0.3">
      <c r="B77" s="32">
        <v>2047</v>
      </c>
      <c r="C77" s="238">
        <f t="shared" si="4"/>
        <v>425</v>
      </c>
    </row>
    <row r="78" spans="2:3" x14ac:dyDescent="0.3">
      <c r="B78" s="32">
        <v>2048</v>
      </c>
      <c r="C78" s="238">
        <f t="shared" si="4"/>
        <v>440</v>
      </c>
    </row>
    <row r="79" spans="2:3" x14ac:dyDescent="0.3">
      <c r="B79" s="32">
        <v>2049</v>
      </c>
      <c r="C79" s="238">
        <f t="shared" si="4"/>
        <v>455</v>
      </c>
    </row>
    <row r="80" spans="2:3" x14ac:dyDescent="0.3">
      <c r="B80" s="32">
        <v>2050</v>
      </c>
      <c r="C80" s="238">
        <f t="shared" si="4"/>
        <v>470</v>
      </c>
    </row>
    <row r="81" spans="2:3" x14ac:dyDescent="0.3">
      <c r="B81" s="32">
        <v>2051</v>
      </c>
      <c r="C81" s="238">
        <f t="shared" si="4"/>
        <v>485</v>
      </c>
    </row>
    <row r="82" spans="2:3" x14ac:dyDescent="0.3">
      <c r="B82" s="32">
        <v>2052</v>
      </c>
      <c r="C82" s="238">
        <f t="shared" si="4"/>
        <v>500</v>
      </c>
    </row>
    <row r="83" spans="2:3" x14ac:dyDescent="0.3">
      <c r="B83" s="32">
        <v>2053</v>
      </c>
      <c r="C83" s="238">
        <f t="shared" si="4"/>
        <v>515</v>
      </c>
    </row>
    <row r="84" spans="2:3" x14ac:dyDescent="0.3">
      <c r="B84" s="32">
        <v>2054</v>
      </c>
      <c r="C84" s="238">
        <f t="shared" si="4"/>
        <v>530</v>
      </c>
    </row>
    <row r="85" spans="2:3" ht="16.5" thickBot="1" x14ac:dyDescent="0.35">
      <c r="B85" s="33">
        <v>2055</v>
      </c>
      <c r="C85" s="22">
        <f t="shared" si="4"/>
        <v>545</v>
      </c>
    </row>
  </sheetData>
  <mergeCells count="8">
    <mergeCell ref="B38:C38"/>
    <mergeCell ref="B4:C4"/>
    <mergeCell ref="B35:C35"/>
    <mergeCell ref="A1:O1"/>
    <mergeCell ref="A2:O2"/>
    <mergeCell ref="A9:O9"/>
    <mergeCell ref="B27:D27"/>
    <mergeCell ref="B11:C11"/>
  </mergeCells>
  <phoneticPr fontId="9" type="noConversion"/>
  <dataValidations disablePrompts="1" count="1">
    <dataValidation type="decimal" allowBlank="1" showInputMessage="1" showErrorMessage="1" sqref="D23:D25" xr:uid="{1D0F21E5-97AC-45A2-8342-C59C9C62804B}">
      <formula1>0</formula1>
      <formula2>1</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CD44-0670-4DAF-A99A-3F7FC4C5F2DE}">
  <sheetPr>
    <tabColor theme="8" tint="0.59999389629810485"/>
  </sheetPr>
  <dimension ref="A1:AZ34"/>
  <sheetViews>
    <sheetView showGridLines="0" zoomScale="55" zoomScaleNormal="55" workbookViewId="0">
      <pane xSplit="2" ySplit="3" topLeftCell="C4" activePane="bottomRight" state="frozen"/>
      <selection pane="topRight" activeCell="C1" sqref="C1"/>
      <selection pane="bottomLeft" activeCell="A4" sqref="A4"/>
      <selection pane="bottomRight" activeCell="I15" sqref="I15"/>
    </sheetView>
    <sheetView zoomScale="90" zoomScaleNormal="90" workbookViewId="1">
      <selection activeCell="O1" sqref="O1:O1048576"/>
    </sheetView>
  </sheetViews>
  <sheetFormatPr defaultColWidth="8.77734375" defaultRowHeight="15.75" outlineLevelCol="1" x14ac:dyDescent="0.3"/>
  <cols>
    <col min="1" max="1" width="35.6640625" style="10" customWidth="1"/>
    <col min="2" max="2" width="2.6640625" style="10" customWidth="1"/>
    <col min="3" max="3" width="14.77734375" style="10" customWidth="1" outlineLevel="1"/>
    <col min="4" max="5" width="13.21875" style="10" customWidth="1" outlineLevel="1"/>
    <col min="6" max="6" width="9.21875" style="10" customWidth="1" outlineLevel="1"/>
    <col min="7" max="7" width="2.6640625" style="10" customWidth="1"/>
    <col min="8" max="8" width="13.77734375" style="10" customWidth="1" outlineLevel="1"/>
    <col min="9" max="9" width="11.109375" style="10" customWidth="1" outlineLevel="1"/>
    <col min="10" max="10" width="11.33203125" style="10" customWidth="1" outlineLevel="1"/>
    <col min="11" max="11" width="11.21875" style="10" customWidth="1" outlineLevel="1"/>
    <col min="12" max="12" width="11.77734375" style="10" customWidth="1" outlineLevel="1"/>
    <col min="13" max="13" width="2.6640625" style="10" customWidth="1"/>
    <col min="14" max="14" width="12.5546875" style="10" customWidth="1" outlineLevel="1"/>
    <col min="15" max="15" width="13.6640625" style="10" customWidth="1" outlineLevel="1"/>
    <col min="16" max="16" width="12.88671875" style="10" customWidth="1" outlineLevel="1"/>
    <col min="17" max="17" width="9.88671875" style="10" customWidth="1" outlineLevel="1"/>
    <col min="18" max="18" width="10.88671875" style="10" customWidth="1" outlineLevel="1"/>
    <col min="19" max="19" width="10.6640625" style="10" customWidth="1" outlineLevel="1"/>
    <col min="20" max="20" width="10.77734375" style="10" customWidth="1" outlineLevel="1"/>
    <col min="21" max="21" width="12.5546875" style="10" customWidth="1" outlineLevel="1"/>
    <col min="22" max="22" width="2.6640625" style="10" customWidth="1"/>
    <col min="23" max="23" width="9.77734375" style="10" customWidth="1" outlineLevel="1"/>
    <col min="24" max="26" width="7.77734375" style="10" customWidth="1" outlineLevel="1"/>
    <col min="27" max="27" width="9.77734375" style="10" customWidth="1" outlineLevel="1"/>
    <col min="28" max="30" width="7.77734375" style="10" customWidth="1" outlineLevel="1"/>
    <col min="31" max="31" width="9.77734375" style="10" customWidth="1" outlineLevel="1"/>
    <col min="32" max="34" width="7.77734375" style="10" customWidth="1" outlineLevel="1"/>
    <col min="35" max="37" width="13.77734375" style="10" customWidth="1" outlineLevel="1"/>
    <col min="38" max="38" width="9.6640625" style="10" customWidth="1" outlineLevel="1"/>
    <col min="39" max="41" width="7.77734375" style="10" customWidth="1" outlineLevel="1"/>
    <col min="42" max="42" width="9.6640625" style="10" customWidth="1" outlineLevel="1"/>
    <col min="43" max="45" width="7.77734375" style="10" customWidth="1" outlineLevel="1"/>
    <col min="46" max="46" width="9.6640625" style="10" customWidth="1" outlineLevel="1"/>
    <col min="47" max="49" width="7.77734375" style="10" customWidth="1" outlineLevel="1"/>
    <col min="50" max="50" width="14" style="10" customWidth="1" outlineLevel="1"/>
    <col min="51" max="51" width="13.6640625" style="10" customWidth="1" outlineLevel="1"/>
    <col min="52" max="52" width="2.6640625" style="10" customWidth="1"/>
    <col min="53" max="16384" width="8.77734375" style="10"/>
  </cols>
  <sheetData>
    <row r="1" spans="1:52" ht="51.75" customHeight="1" x14ac:dyDescent="0.3">
      <c r="A1" s="316" t="s">
        <v>39</v>
      </c>
      <c r="B1" s="9"/>
      <c r="C1" s="61" t="s">
        <v>321</v>
      </c>
      <c r="D1" s="61"/>
      <c r="E1" s="61"/>
      <c r="F1" s="61"/>
      <c r="G1" s="9"/>
      <c r="H1" s="61" t="s">
        <v>413</v>
      </c>
      <c r="I1" s="61"/>
      <c r="J1" s="61"/>
      <c r="K1" s="61"/>
      <c r="L1" s="61"/>
      <c r="M1" s="9"/>
      <c r="N1" s="61" t="s">
        <v>41</v>
      </c>
      <c r="O1" s="61"/>
      <c r="P1" s="61"/>
      <c r="Q1" s="61"/>
      <c r="R1" s="61"/>
      <c r="S1" s="61"/>
      <c r="T1" s="61"/>
      <c r="U1" s="61"/>
      <c r="V1" s="9"/>
      <c r="W1" s="61" t="s">
        <v>42</v>
      </c>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9"/>
    </row>
    <row r="2" spans="1:52" s="8" customFormat="1" ht="75.75" customHeight="1" x14ac:dyDescent="0.3">
      <c r="A2" s="316"/>
      <c r="B2" s="9"/>
      <c r="C2" s="216" t="s">
        <v>320</v>
      </c>
      <c r="D2" s="216" t="s">
        <v>319</v>
      </c>
      <c r="E2" s="216" t="s">
        <v>319</v>
      </c>
      <c r="F2" s="216" t="s">
        <v>43</v>
      </c>
      <c r="G2" s="44"/>
      <c r="H2" s="216" t="s">
        <v>316</v>
      </c>
      <c r="I2" s="216" t="s">
        <v>315</v>
      </c>
      <c r="J2" s="216" t="s">
        <v>317</v>
      </c>
      <c r="K2" s="216" t="s">
        <v>317</v>
      </c>
      <c r="L2" s="216" t="s">
        <v>318</v>
      </c>
      <c r="M2" s="44"/>
      <c r="N2" s="216" t="s">
        <v>322</v>
      </c>
      <c r="O2" s="216" t="s">
        <v>368</v>
      </c>
      <c r="P2" s="216" t="s">
        <v>323</v>
      </c>
      <c r="Q2" s="216" t="s">
        <v>325</v>
      </c>
      <c r="R2" s="216" t="s">
        <v>326</v>
      </c>
      <c r="S2" s="216" t="s">
        <v>324</v>
      </c>
      <c r="T2" s="216" t="s">
        <v>324</v>
      </c>
      <c r="U2" s="216" t="s">
        <v>327</v>
      </c>
      <c r="V2" s="118"/>
      <c r="W2" s="317" t="s">
        <v>328</v>
      </c>
      <c r="X2" s="318"/>
      <c r="Y2" s="318"/>
      <c r="Z2" s="319"/>
      <c r="AA2" s="317" t="s">
        <v>329</v>
      </c>
      <c r="AB2" s="318"/>
      <c r="AC2" s="318"/>
      <c r="AD2" s="319"/>
      <c r="AE2" s="317" t="s">
        <v>330</v>
      </c>
      <c r="AF2" s="318"/>
      <c r="AG2" s="318"/>
      <c r="AH2" s="319"/>
      <c r="AI2" s="216" t="s">
        <v>353</v>
      </c>
      <c r="AJ2" s="216" t="s">
        <v>354</v>
      </c>
      <c r="AK2" s="216" t="s">
        <v>355</v>
      </c>
      <c r="AL2" s="317" t="s">
        <v>331</v>
      </c>
      <c r="AM2" s="318"/>
      <c r="AN2" s="318"/>
      <c r="AO2" s="319"/>
      <c r="AP2" s="317" t="s">
        <v>332</v>
      </c>
      <c r="AQ2" s="318" t="s">
        <v>332</v>
      </c>
      <c r="AR2" s="318"/>
      <c r="AS2" s="319"/>
      <c r="AT2" s="317" t="s">
        <v>333</v>
      </c>
      <c r="AU2" s="318" t="s">
        <v>333</v>
      </c>
      <c r="AV2" s="318"/>
      <c r="AW2" s="319"/>
      <c r="AX2" s="214" t="s">
        <v>346</v>
      </c>
      <c r="AY2" s="214" t="s">
        <v>348</v>
      </c>
      <c r="AZ2" s="9"/>
    </row>
    <row r="3" spans="1:52" s="8" customFormat="1" x14ac:dyDescent="0.3">
      <c r="A3" s="20" t="s">
        <v>15</v>
      </c>
      <c r="B3" s="20"/>
      <c r="C3" s="207" t="s">
        <v>53</v>
      </c>
      <c r="D3" s="207" t="s">
        <v>54</v>
      </c>
      <c r="E3" s="207" t="s">
        <v>55</v>
      </c>
      <c r="F3" s="207" t="s">
        <v>53</v>
      </c>
      <c r="G3" s="44"/>
      <c r="H3" s="207" t="s">
        <v>54</v>
      </c>
      <c r="I3" s="207" t="s">
        <v>56</v>
      </c>
      <c r="J3" s="207" t="s">
        <v>54</v>
      </c>
      <c r="K3" s="207" t="s">
        <v>55</v>
      </c>
      <c r="L3" s="207" t="s">
        <v>56</v>
      </c>
      <c r="M3" s="44"/>
      <c r="N3" s="207" t="s">
        <v>59</v>
      </c>
      <c r="O3" s="207" t="s">
        <v>56</v>
      </c>
      <c r="P3" s="207" t="s">
        <v>60</v>
      </c>
      <c r="Q3" s="207" t="s">
        <v>60</v>
      </c>
      <c r="R3" s="207" t="s">
        <v>53</v>
      </c>
      <c r="S3" s="207" t="s">
        <v>60</v>
      </c>
      <c r="T3" s="207" t="s">
        <v>61</v>
      </c>
      <c r="U3" s="207" t="s">
        <v>53</v>
      </c>
      <c r="V3" s="118"/>
      <c r="W3" s="207" t="s">
        <v>62</v>
      </c>
      <c r="X3" s="207" t="s">
        <v>63</v>
      </c>
      <c r="Y3" s="207" t="s">
        <v>64</v>
      </c>
      <c r="Z3" s="207" t="s">
        <v>65</v>
      </c>
      <c r="AA3" s="207" t="s">
        <v>62</v>
      </c>
      <c r="AB3" s="207" t="s">
        <v>63</v>
      </c>
      <c r="AC3" s="207" t="s">
        <v>64</v>
      </c>
      <c r="AD3" s="207" t="s">
        <v>65</v>
      </c>
      <c r="AE3" s="207" t="s">
        <v>62</v>
      </c>
      <c r="AF3" s="207" t="s">
        <v>63</v>
      </c>
      <c r="AG3" s="207" t="s">
        <v>64</v>
      </c>
      <c r="AH3" s="207" t="s">
        <v>65</v>
      </c>
      <c r="AI3" s="207" t="s">
        <v>53</v>
      </c>
      <c r="AJ3" s="207" t="s">
        <v>53</v>
      </c>
      <c r="AK3" s="207" t="s">
        <v>53</v>
      </c>
      <c r="AL3" s="207" t="s">
        <v>62</v>
      </c>
      <c r="AM3" s="207" t="s">
        <v>63</v>
      </c>
      <c r="AN3" s="207" t="s">
        <v>64</v>
      </c>
      <c r="AO3" s="207" t="s">
        <v>65</v>
      </c>
      <c r="AP3" s="207" t="s">
        <v>62</v>
      </c>
      <c r="AQ3" s="207" t="s">
        <v>63</v>
      </c>
      <c r="AR3" s="207" t="s">
        <v>64</v>
      </c>
      <c r="AS3" s="207" t="s">
        <v>65</v>
      </c>
      <c r="AT3" s="207" t="s">
        <v>62</v>
      </c>
      <c r="AU3" s="207" t="s">
        <v>63</v>
      </c>
      <c r="AV3" s="207" t="s">
        <v>64</v>
      </c>
      <c r="AW3" s="207" t="s">
        <v>65</v>
      </c>
      <c r="AX3" s="215" t="s">
        <v>347</v>
      </c>
      <c r="AY3" s="215" t="s">
        <v>65</v>
      </c>
      <c r="AZ3" s="44"/>
    </row>
    <row r="4" spans="1:52" ht="20.25" customHeight="1" x14ac:dyDescent="0.3">
      <c r="A4" s="66" t="s">
        <v>66</v>
      </c>
      <c r="B4" s="44"/>
      <c r="C4" s="67">
        <f>SUM(C5:C9)</f>
        <v>1</v>
      </c>
      <c r="D4" s="68">
        <v>8671000</v>
      </c>
      <c r="E4" s="69">
        <f t="shared" ref="E4:E9" si="0">D4*10.7639</f>
        <v>93333776.899999991</v>
      </c>
      <c r="F4" s="70"/>
      <c r="G4" s="44"/>
      <c r="H4" s="72"/>
      <c r="I4" s="72"/>
      <c r="J4" s="72"/>
      <c r="K4" s="72"/>
      <c r="L4" s="72"/>
      <c r="M4" s="44"/>
      <c r="N4" s="72" t="s">
        <v>56</v>
      </c>
      <c r="O4" s="72"/>
      <c r="P4" s="69">
        <f>SUM(P5:P9)</f>
        <v>2426.4926399999999</v>
      </c>
      <c r="Q4" s="68">
        <v>2330</v>
      </c>
      <c r="R4" s="70">
        <f t="shared" ref="R4:R9" si="1">Q4/SUM($Q$4,$Q$11,$Q$18,$Q$24,$Q$28)</f>
        <v>0.24270833333333333</v>
      </c>
      <c r="S4" s="68">
        <v>730</v>
      </c>
      <c r="T4" s="69">
        <f t="shared" ref="T4:T9" si="2">S4*3600</f>
        <v>2628000</v>
      </c>
      <c r="U4" s="70">
        <f>S4/$S$33</f>
        <v>0.16515837104072398</v>
      </c>
      <c r="V4" s="118"/>
      <c r="W4" s="74"/>
      <c r="X4" s="40"/>
      <c r="Y4" s="40"/>
      <c r="Z4" s="40"/>
      <c r="AA4" s="120"/>
      <c r="AB4" s="40"/>
      <c r="AC4" s="40"/>
      <c r="AD4" s="40"/>
      <c r="AE4" s="75"/>
      <c r="AF4" s="40"/>
      <c r="AG4" s="40"/>
      <c r="AH4" s="40"/>
      <c r="AI4" s="74"/>
      <c r="AJ4" s="75"/>
      <c r="AK4" s="75"/>
      <c r="AL4" s="74"/>
      <c r="AM4" s="40"/>
      <c r="AN4" s="40"/>
      <c r="AO4" s="40"/>
      <c r="AP4" s="74"/>
      <c r="AQ4" s="40"/>
      <c r="AR4" s="40"/>
      <c r="AS4" s="40"/>
      <c r="AT4" s="74"/>
      <c r="AU4" s="40"/>
      <c r="AV4" s="40"/>
      <c r="AW4" s="40"/>
      <c r="AX4" s="40"/>
      <c r="AY4" s="40"/>
      <c r="AZ4" s="44"/>
    </row>
    <row r="5" spans="1:52" x14ac:dyDescent="0.3">
      <c r="A5" s="50" t="s">
        <v>395</v>
      </c>
      <c r="B5" s="44"/>
      <c r="C5" s="71">
        <v>0.46</v>
      </c>
      <c r="D5" s="69">
        <f>$D$4*C5</f>
        <v>3988660</v>
      </c>
      <c r="E5" s="69">
        <f t="shared" si="0"/>
        <v>42933537.373999998</v>
      </c>
      <c r="F5" s="70">
        <f>D5/$D$33</f>
        <v>0.1275595637852186</v>
      </c>
      <c r="G5" s="44"/>
      <c r="H5" s="73">
        <v>1400</v>
      </c>
      <c r="I5" s="73">
        <v>20</v>
      </c>
      <c r="J5" s="72">
        <f>H5*I5</f>
        <v>28000</v>
      </c>
      <c r="K5" s="72">
        <f>J5*'Global Inputs'!$C$5</f>
        <v>301389.2</v>
      </c>
      <c r="L5" s="73">
        <f>K5/20000</f>
        <v>15.069460000000001</v>
      </c>
      <c r="M5" s="44"/>
      <c r="N5" s="73">
        <v>268</v>
      </c>
      <c r="O5" s="73" t="s">
        <v>67</v>
      </c>
      <c r="P5" s="69">
        <f>(N5*D5)/10^6</f>
        <v>1068.9608800000001</v>
      </c>
      <c r="Q5" s="69">
        <f>Q4*(P5/P4)</f>
        <v>1026.4522584333906</v>
      </c>
      <c r="R5" s="70">
        <f t="shared" si="1"/>
        <v>0.10692211025347818</v>
      </c>
      <c r="S5" s="76" cm="1">
        <f t="array" ref="S5">(E5/SUMPRODUCT($E$5:$E$9,IF($O$5:$O$9="Gas",1,0)))*$S$4*(O5="Gas")</f>
        <v>501.19402985074623</v>
      </c>
      <c r="T5" s="69">
        <f t="shared" si="2"/>
        <v>1804298.5074626864</v>
      </c>
      <c r="U5" s="70">
        <f t="shared" ref="U5:U9" si="3">S5/$S$33</f>
        <v>0.11339231444587018</v>
      </c>
      <c r="V5" s="118"/>
      <c r="W5" s="77">
        <v>8</v>
      </c>
      <c r="X5" s="78">
        <f>W5*K5/1000</f>
        <v>2411.1136000000001</v>
      </c>
      <c r="Y5" s="78">
        <f>+X5*'Global Inputs'!$C$6</f>
        <v>8233.9529440000006</v>
      </c>
      <c r="Z5" s="78">
        <f>+Y5*'Global Inputs'!$C$7</f>
        <v>686.16274533333331</v>
      </c>
      <c r="AA5" s="121">
        <f>800*0.93*292.81/K5</f>
        <v>0.72282165386151864</v>
      </c>
      <c r="AB5" s="78">
        <f>AA5*K5/1000</f>
        <v>217.85064000000003</v>
      </c>
      <c r="AC5" s="78">
        <f>+AB5*'Global Inputs'!$C$6</f>
        <v>743.95993560000011</v>
      </c>
      <c r="AD5" s="78">
        <f>+AC5*'Global Inputs'!$C$7</f>
        <v>61.996661300000007</v>
      </c>
      <c r="AE5" s="77">
        <v>9</v>
      </c>
      <c r="AF5" s="78">
        <f>AE5*K5/1000</f>
        <v>2712.5028000000002</v>
      </c>
      <c r="AG5" s="78">
        <f>+AF5*'Global Inputs'!$C$6</f>
        <v>9263.1970620000011</v>
      </c>
      <c r="AH5" s="78">
        <f>+AG5*'Global Inputs'!$C$7</f>
        <v>771.93308850000005</v>
      </c>
      <c r="AI5" s="79">
        <v>0</v>
      </c>
      <c r="AJ5" s="79">
        <v>0.5</v>
      </c>
      <c r="AK5" s="79">
        <v>0</v>
      </c>
      <c r="AL5" s="80">
        <f>W5*(1-AI5)</f>
        <v>8</v>
      </c>
      <c r="AM5" s="78">
        <f>AL5*K5/1000</f>
        <v>2411.1136000000001</v>
      </c>
      <c r="AN5" s="78">
        <f>+AM5*'Global Inputs'!$C$6</f>
        <v>8233.9529440000006</v>
      </c>
      <c r="AO5" s="78">
        <f>+AN5*'Global Inputs'!$C$7</f>
        <v>686.16274533333331</v>
      </c>
      <c r="AP5" s="80">
        <f>AA5*(1-AJ5)</f>
        <v>0.36141082693075932</v>
      </c>
      <c r="AQ5" s="78">
        <f>AP5*K5/1000</f>
        <v>108.92532000000001</v>
      </c>
      <c r="AR5" s="78">
        <f>+AQ5*'Global Inputs'!$C$6</f>
        <v>371.97996780000005</v>
      </c>
      <c r="AS5" s="78">
        <f>+AR5*'Global Inputs'!$C$7</f>
        <v>30.998330650000003</v>
      </c>
      <c r="AT5" s="80">
        <f>AE5*(1-AK5)</f>
        <v>9</v>
      </c>
      <c r="AU5" s="78">
        <f>AT5*K5/1000</f>
        <v>2712.5028000000002</v>
      </c>
      <c r="AV5" s="78">
        <f>+AU5*'Global Inputs'!$C$6</f>
        <v>9263.1970620000011</v>
      </c>
      <c r="AW5" s="78">
        <f>+AV5*'Global Inputs'!$C$7</f>
        <v>771.93308850000005</v>
      </c>
      <c r="AX5" s="102">
        <v>0</v>
      </c>
      <c r="AY5" s="102">
        <v>0</v>
      </c>
      <c r="AZ5" s="44"/>
    </row>
    <row r="6" spans="1:52" x14ac:dyDescent="0.3">
      <c r="A6" s="50" t="s">
        <v>396</v>
      </c>
      <c r="B6" s="44"/>
      <c r="C6" s="71">
        <v>0.19</v>
      </c>
      <c r="D6" s="69">
        <f>$D$4*C6</f>
        <v>1647490</v>
      </c>
      <c r="E6" s="69">
        <f t="shared" si="0"/>
        <v>17733417.610999998</v>
      </c>
      <c r="F6" s="70">
        <f>D6/$D$33</f>
        <v>5.2687645911285941E-2</v>
      </c>
      <c r="G6" s="44"/>
      <c r="H6" s="73">
        <v>1400</v>
      </c>
      <c r="I6" s="73">
        <v>20</v>
      </c>
      <c r="J6" s="72">
        <f>H6*I6</f>
        <v>28000</v>
      </c>
      <c r="K6" s="72">
        <f>J6*'Global Inputs'!$C$5</f>
        <v>301389.2</v>
      </c>
      <c r="L6" s="73">
        <f>K6/20000</f>
        <v>15.069460000000001</v>
      </c>
      <c r="M6" s="44"/>
      <c r="N6" s="73">
        <v>268</v>
      </c>
      <c r="O6" s="73" t="s">
        <v>68</v>
      </c>
      <c r="P6" s="69">
        <f>(N6*D6)/10^6</f>
        <v>441.52731999999997</v>
      </c>
      <c r="Q6" s="69">
        <f>Q4*(P6/P4)</f>
        <v>423.96941109205261</v>
      </c>
      <c r="R6" s="70">
        <f t="shared" si="1"/>
        <v>4.4163480322088812E-2</v>
      </c>
      <c r="S6" s="76" cm="1">
        <f t="array" ref="S6">(E6/SUMPRODUCT($E$5:$E$9,IF($O$5:$O$9="Gas",1,0)))*$S$4*(O6="Gas")</f>
        <v>0</v>
      </c>
      <c r="T6" s="69">
        <f t="shared" si="2"/>
        <v>0</v>
      </c>
      <c r="U6" s="70">
        <f t="shared" si="3"/>
        <v>0</v>
      </c>
      <c r="V6" s="118"/>
      <c r="W6" s="77">
        <v>8</v>
      </c>
      <c r="X6" s="78">
        <f>W6*K6/1000</f>
        <v>2411.1136000000001</v>
      </c>
      <c r="Y6" s="78">
        <f>+X6*'Global Inputs'!$C$6</f>
        <v>8233.9529440000006</v>
      </c>
      <c r="Z6" s="78">
        <f>+Y6*'Global Inputs'!$C$7</f>
        <v>686.16274533333331</v>
      </c>
      <c r="AA6" s="121">
        <f>800*0.93*292.81/K6</f>
        <v>0.72282165386151864</v>
      </c>
      <c r="AB6" s="78">
        <f>AA6*K6/1000</f>
        <v>217.85064000000003</v>
      </c>
      <c r="AC6" s="78">
        <f>+AB6*'Global Inputs'!$C$6</f>
        <v>743.95993560000011</v>
      </c>
      <c r="AD6" s="78">
        <f>+AC6*'Global Inputs'!$C$7</f>
        <v>61.996661300000007</v>
      </c>
      <c r="AE6" s="77">
        <v>9</v>
      </c>
      <c r="AF6" s="78">
        <f>AE6*K6/1000</f>
        <v>2712.5028000000002</v>
      </c>
      <c r="AG6" s="78">
        <f>+AF6*'Global Inputs'!$C$6</f>
        <v>9263.1970620000011</v>
      </c>
      <c r="AH6" s="78">
        <f>+AG6*'Global Inputs'!$C$7</f>
        <v>771.93308850000005</v>
      </c>
      <c r="AI6" s="79">
        <v>0</v>
      </c>
      <c r="AJ6" s="79">
        <v>0.5</v>
      </c>
      <c r="AK6" s="79">
        <v>0</v>
      </c>
      <c r="AL6" s="80">
        <f>W6*(1-AI6)</f>
        <v>8</v>
      </c>
      <c r="AM6" s="78">
        <f>AL6*K6/1000</f>
        <v>2411.1136000000001</v>
      </c>
      <c r="AN6" s="78">
        <f>+AM6*'Global Inputs'!$C$6</f>
        <v>8233.9529440000006</v>
      </c>
      <c r="AO6" s="78">
        <f>+AN6*'Global Inputs'!$C$7</f>
        <v>686.16274533333331</v>
      </c>
      <c r="AP6" s="80">
        <f>AA6*(1-AJ6)</f>
        <v>0.36141082693075932</v>
      </c>
      <c r="AQ6" s="78">
        <f>AP6*K6/1000</f>
        <v>108.92532000000001</v>
      </c>
      <c r="AR6" s="78">
        <f>+AQ6*'Global Inputs'!$C$6</f>
        <v>371.97996780000005</v>
      </c>
      <c r="AS6" s="78">
        <f>+AR6*'Global Inputs'!$C$7</f>
        <v>30.998330650000003</v>
      </c>
      <c r="AT6" s="80">
        <f>AE6*(1-AK6)</f>
        <v>9</v>
      </c>
      <c r="AU6" s="78">
        <f>AT6*K6/1000</f>
        <v>2712.5028000000002</v>
      </c>
      <c r="AV6" s="78">
        <f>+AU6*'Global Inputs'!$C$6</f>
        <v>9263.1970620000011</v>
      </c>
      <c r="AW6" s="78">
        <f>+AV6*'Global Inputs'!$C$7</f>
        <v>771.93308850000005</v>
      </c>
      <c r="AX6" s="102">
        <v>0</v>
      </c>
      <c r="AY6" s="102">
        <v>0</v>
      </c>
      <c r="AZ6" s="44"/>
    </row>
    <row r="7" spans="1:52" x14ac:dyDescent="0.3">
      <c r="A7" s="50" t="s">
        <v>397</v>
      </c>
      <c r="B7" s="44"/>
      <c r="C7" s="71">
        <v>0.03</v>
      </c>
      <c r="D7" s="69">
        <f>$D$4*C7</f>
        <v>260130</v>
      </c>
      <c r="E7" s="69">
        <f t="shared" si="0"/>
        <v>2800013.307</v>
      </c>
      <c r="F7" s="70">
        <f>D7/$D$33</f>
        <v>8.3191019859925157E-3</v>
      </c>
      <c r="G7" s="44"/>
      <c r="H7" s="73">
        <v>1400</v>
      </c>
      <c r="I7" s="73">
        <v>20</v>
      </c>
      <c r="J7" s="72">
        <f>H7*I7</f>
        <v>28000</v>
      </c>
      <c r="K7" s="72">
        <f>J7*'Global Inputs'!$C$5</f>
        <v>301389.2</v>
      </c>
      <c r="L7" s="73">
        <f>K7/20000</f>
        <v>15.069460000000001</v>
      </c>
      <c r="M7" s="44"/>
      <c r="N7" s="73">
        <v>268</v>
      </c>
      <c r="O7" s="73" t="s">
        <v>69</v>
      </c>
      <c r="P7" s="69">
        <f>(N7*D7)/10^6</f>
        <v>69.714839999999995</v>
      </c>
      <c r="Q7" s="69">
        <f>Q4*(P7/P4)</f>
        <v>66.942538593481984</v>
      </c>
      <c r="R7" s="70">
        <f t="shared" si="1"/>
        <v>6.9731811034877064E-3</v>
      </c>
      <c r="S7" s="76" cm="1">
        <f t="array" ref="S7">(E7/SUMPRODUCT($E$5:$E$9,IF($O$5:$O$9="Gas",1,0)))*$S$4*(O7="Gas")</f>
        <v>0</v>
      </c>
      <c r="T7" s="69">
        <f t="shared" si="2"/>
        <v>0</v>
      </c>
      <c r="U7" s="70">
        <f t="shared" si="3"/>
        <v>0</v>
      </c>
      <c r="V7" s="118"/>
      <c r="W7" s="77">
        <v>8</v>
      </c>
      <c r="X7" s="78">
        <f>W7*K7/1000</f>
        <v>2411.1136000000001</v>
      </c>
      <c r="Y7" s="78">
        <f>+X7*'Global Inputs'!$C$6</f>
        <v>8233.9529440000006</v>
      </c>
      <c r="Z7" s="78">
        <f>+Y7*'Global Inputs'!$C$7</f>
        <v>686.16274533333331</v>
      </c>
      <c r="AA7" s="121">
        <f>800*0.93*292.81/K7</f>
        <v>0.72282165386151864</v>
      </c>
      <c r="AB7" s="78">
        <f>AA7*K7/1000</f>
        <v>217.85064000000003</v>
      </c>
      <c r="AC7" s="78">
        <f>+AB7*'Global Inputs'!$C$6</f>
        <v>743.95993560000011</v>
      </c>
      <c r="AD7" s="78">
        <f>+AC7*'Global Inputs'!$C$7</f>
        <v>61.996661300000007</v>
      </c>
      <c r="AE7" s="77">
        <v>9</v>
      </c>
      <c r="AF7" s="78">
        <f>AE7*K7/1000</f>
        <v>2712.5028000000002</v>
      </c>
      <c r="AG7" s="78">
        <f>+AF7*'Global Inputs'!$C$6</f>
        <v>9263.1970620000011</v>
      </c>
      <c r="AH7" s="78">
        <f>+AG7*'Global Inputs'!$C$7</f>
        <v>771.93308850000005</v>
      </c>
      <c r="AI7" s="79">
        <v>0</v>
      </c>
      <c r="AJ7" s="79">
        <v>0.5</v>
      </c>
      <c r="AK7" s="79">
        <v>0</v>
      </c>
      <c r="AL7" s="80">
        <f>W7*(1-AI7)</f>
        <v>8</v>
      </c>
      <c r="AM7" s="78">
        <f>AL7*K7/1000</f>
        <v>2411.1136000000001</v>
      </c>
      <c r="AN7" s="78">
        <f>+AM7*'Global Inputs'!$C$6</f>
        <v>8233.9529440000006</v>
      </c>
      <c r="AO7" s="78">
        <f>+AN7*'Global Inputs'!$C$7</f>
        <v>686.16274533333331</v>
      </c>
      <c r="AP7" s="80">
        <f>AA7*(1-AJ7)</f>
        <v>0.36141082693075932</v>
      </c>
      <c r="AQ7" s="78">
        <f>AP7*K7/1000</f>
        <v>108.92532000000001</v>
      </c>
      <c r="AR7" s="78">
        <f>+AQ7*'Global Inputs'!$C$6</f>
        <v>371.97996780000005</v>
      </c>
      <c r="AS7" s="78">
        <f>+AR7*'Global Inputs'!$C$7</f>
        <v>30.998330650000003</v>
      </c>
      <c r="AT7" s="80">
        <f>AE7*(1-AK7)</f>
        <v>9</v>
      </c>
      <c r="AU7" s="78">
        <f>AT7*K7/1000</f>
        <v>2712.5028000000002</v>
      </c>
      <c r="AV7" s="78">
        <f>+AU7*'Global Inputs'!$C$6</f>
        <v>9263.1970620000011</v>
      </c>
      <c r="AW7" s="78">
        <f>+AV7*'Global Inputs'!$C$7</f>
        <v>771.93308850000005</v>
      </c>
      <c r="AX7" s="102">
        <v>30000</v>
      </c>
      <c r="AY7" s="102">
        <v>0</v>
      </c>
      <c r="AZ7" s="44"/>
    </row>
    <row r="8" spans="1:52" x14ac:dyDescent="0.3">
      <c r="A8" s="50" t="s">
        <v>398</v>
      </c>
      <c r="B8" s="44"/>
      <c r="C8" s="71">
        <v>0.21</v>
      </c>
      <c r="D8" s="69">
        <f>$D$4*C8</f>
        <v>1820910</v>
      </c>
      <c r="E8" s="69">
        <f t="shared" si="0"/>
        <v>19600093.149</v>
      </c>
      <c r="F8" s="70">
        <f>D8/$D$33</f>
        <v>5.8233713901947613E-2</v>
      </c>
      <c r="G8" s="44"/>
      <c r="H8" s="73">
        <v>560</v>
      </c>
      <c r="I8" s="73">
        <v>6</v>
      </c>
      <c r="J8" s="72">
        <f>H8*I8</f>
        <v>3360</v>
      </c>
      <c r="K8" s="72">
        <f>J8*'Global Inputs'!$C$5</f>
        <v>36166.703999999998</v>
      </c>
      <c r="L8" s="73">
        <f>K8/8000</f>
        <v>4.5208379999999995</v>
      </c>
      <c r="M8" s="44"/>
      <c r="N8" s="73">
        <v>305</v>
      </c>
      <c r="O8" s="73" t="s">
        <v>67</v>
      </c>
      <c r="P8" s="69">
        <f>(N8*D8)/10^6</f>
        <v>555.37755000000004</v>
      </c>
      <c r="Q8" s="69">
        <f>Q4*(P8/P4)</f>
        <v>533.2922384219554</v>
      </c>
      <c r="R8" s="70">
        <f t="shared" si="1"/>
        <v>5.5551274835620355E-2</v>
      </c>
      <c r="S8" s="76" cm="1">
        <f t="array" ref="S8">(E8/SUMPRODUCT($E$5:$E$9,IF($O$5:$O$9="Gas",1,0)))*$S$4*(O8="Gas")</f>
        <v>228.80597014925374</v>
      </c>
      <c r="T8" s="69">
        <f t="shared" si="2"/>
        <v>823701.49253731349</v>
      </c>
      <c r="U8" s="70">
        <f t="shared" si="3"/>
        <v>5.1766056594853789E-2</v>
      </c>
      <c r="V8" s="118"/>
      <c r="W8" s="77">
        <v>11</v>
      </c>
      <c r="X8" s="78">
        <f>W8*K8/1000</f>
        <v>397.83374399999997</v>
      </c>
      <c r="Y8" s="78">
        <f>+X8*'Global Inputs'!$C$6</f>
        <v>1358.60223576</v>
      </c>
      <c r="Z8" s="78">
        <f>+Y8*'Global Inputs'!$C$7</f>
        <v>113.21685298</v>
      </c>
      <c r="AA8" s="121">
        <v>0.7</v>
      </c>
      <c r="AB8" s="78">
        <f>AA8*K8/1000</f>
        <v>25.316692799999998</v>
      </c>
      <c r="AC8" s="78">
        <f>+AB8*'Global Inputs'!$C$6</f>
        <v>86.456505911999997</v>
      </c>
      <c r="AD8" s="78">
        <f>+AC8*'Global Inputs'!$C$7</f>
        <v>7.2047088259999992</v>
      </c>
      <c r="AE8" s="77">
        <f>6*15*12*292/K8</f>
        <v>8.7196223355050559</v>
      </c>
      <c r="AF8" s="78">
        <f>AE8*K8/1000</f>
        <v>315.36000000000007</v>
      </c>
      <c r="AG8" s="78">
        <f>+AF8*'Global Inputs'!$C$6</f>
        <v>1076.9544000000003</v>
      </c>
      <c r="AH8" s="78">
        <f>+AG8*'Global Inputs'!$C$7</f>
        <v>89.746200000000016</v>
      </c>
      <c r="AI8" s="79">
        <v>0</v>
      </c>
      <c r="AJ8" s="79">
        <v>0.5</v>
      </c>
      <c r="AK8" s="79">
        <v>0</v>
      </c>
      <c r="AL8" s="80">
        <f>W8*(1-AI8)</f>
        <v>11</v>
      </c>
      <c r="AM8" s="78">
        <f>AL8*K8/1000</f>
        <v>397.83374399999997</v>
      </c>
      <c r="AN8" s="78">
        <f>+AM8*'Global Inputs'!$C$6</f>
        <v>1358.60223576</v>
      </c>
      <c r="AO8" s="78">
        <f>+AN8*'Global Inputs'!$C$7</f>
        <v>113.21685298</v>
      </c>
      <c r="AP8" s="80">
        <f>AA8*(1-AJ8)</f>
        <v>0.35</v>
      </c>
      <c r="AQ8" s="78">
        <f>AP8*K8/1000</f>
        <v>12.658346399999999</v>
      </c>
      <c r="AR8" s="78">
        <f>+AQ8*'Global Inputs'!$C$6</f>
        <v>43.228252955999999</v>
      </c>
      <c r="AS8" s="78">
        <f>+AR8*'Global Inputs'!$C$7</f>
        <v>3.6023544129999996</v>
      </c>
      <c r="AT8" s="80">
        <f>AE8*(1-AK8)</f>
        <v>8.7196223355050559</v>
      </c>
      <c r="AU8" s="78">
        <f>AT8*K8/1000</f>
        <v>315.36000000000007</v>
      </c>
      <c r="AV8" s="78">
        <f>+AU8*'Global Inputs'!$C$6</f>
        <v>1076.9544000000003</v>
      </c>
      <c r="AW8" s="78">
        <f>+AV8*'Global Inputs'!$C$7</f>
        <v>89.746200000000016</v>
      </c>
      <c r="AX8" s="102">
        <v>3600</v>
      </c>
      <c r="AY8" s="102">
        <f>6*15</f>
        <v>90</v>
      </c>
      <c r="AZ8" s="44"/>
    </row>
    <row r="9" spans="1:52" x14ac:dyDescent="0.3">
      <c r="A9" s="50" t="s">
        <v>399</v>
      </c>
      <c r="B9" s="44"/>
      <c r="C9" s="71">
        <v>0.11</v>
      </c>
      <c r="D9" s="69">
        <f>$D$4*C9</f>
        <v>953810</v>
      </c>
      <c r="E9" s="69">
        <f t="shared" si="0"/>
        <v>10266715.458999999</v>
      </c>
      <c r="F9" s="70">
        <f>D9/$D$33</f>
        <v>3.0503373948639226E-2</v>
      </c>
      <c r="G9" s="44"/>
      <c r="H9" s="73">
        <v>560</v>
      </c>
      <c r="I9" s="73">
        <v>6</v>
      </c>
      <c r="J9" s="72">
        <f>H9*I9</f>
        <v>3360</v>
      </c>
      <c r="K9" s="72">
        <f>J9*'Global Inputs'!$C$5</f>
        <v>36166.703999999998</v>
      </c>
      <c r="L9" s="73">
        <f>K9/8000</f>
        <v>4.5208379999999995</v>
      </c>
      <c r="M9" s="44"/>
      <c r="N9" s="73">
        <v>305</v>
      </c>
      <c r="O9" s="73" t="s">
        <v>69</v>
      </c>
      <c r="P9" s="69">
        <f>(N9*D9)/10^6</f>
        <v>290.91205000000002</v>
      </c>
      <c r="Q9" s="69">
        <f>Q4*(P9/P4)</f>
        <v>279.34355345911951</v>
      </c>
      <c r="R9" s="70">
        <f t="shared" si="1"/>
        <v>2.9098286818658281E-2</v>
      </c>
      <c r="S9" s="76" cm="1">
        <f t="array" ref="S9">(E9/SUMPRODUCT($E$5:$E$9,IF($O$5:$O$9="Gas",1,0)))*$S$4*(O9="Gas")</f>
        <v>0</v>
      </c>
      <c r="T9" s="69">
        <f t="shared" si="2"/>
        <v>0</v>
      </c>
      <c r="U9" s="70">
        <f t="shared" si="3"/>
        <v>0</v>
      </c>
      <c r="V9" s="118"/>
      <c r="W9" s="77">
        <v>11</v>
      </c>
      <c r="X9" s="78">
        <f>W9*K9/1000</f>
        <v>397.83374399999997</v>
      </c>
      <c r="Y9" s="78">
        <f>+X9*'Global Inputs'!$C$6</f>
        <v>1358.60223576</v>
      </c>
      <c r="Z9" s="78">
        <f>+Y9*'Global Inputs'!$C$7</f>
        <v>113.21685298</v>
      </c>
      <c r="AA9" s="121">
        <v>0.7</v>
      </c>
      <c r="AB9" s="78">
        <f>AA9*K9/1000</f>
        <v>25.316692799999998</v>
      </c>
      <c r="AC9" s="78">
        <f>+AB9*'Global Inputs'!$C$6</f>
        <v>86.456505911999997</v>
      </c>
      <c r="AD9" s="78">
        <f>+AC9*'Global Inputs'!$C$7</f>
        <v>7.2047088259999992</v>
      </c>
      <c r="AE9" s="77">
        <f>6*15*12*292/K9</f>
        <v>8.7196223355050559</v>
      </c>
      <c r="AF9" s="78">
        <f>AE9*K9/1000</f>
        <v>315.36000000000007</v>
      </c>
      <c r="AG9" s="78">
        <f>+AF9*'Global Inputs'!$C$6</f>
        <v>1076.9544000000003</v>
      </c>
      <c r="AH9" s="78">
        <f>+AG9*'Global Inputs'!$C$7</f>
        <v>89.746200000000016</v>
      </c>
      <c r="AI9" s="79">
        <v>0</v>
      </c>
      <c r="AJ9" s="79">
        <v>0.5</v>
      </c>
      <c r="AK9" s="79">
        <v>0</v>
      </c>
      <c r="AL9" s="80">
        <f>W9*(1-AI9)</f>
        <v>11</v>
      </c>
      <c r="AM9" s="78">
        <f>AL9*K9/1000</f>
        <v>397.83374399999997</v>
      </c>
      <c r="AN9" s="78">
        <f>+AM9*'Global Inputs'!$C$6</f>
        <v>1358.60223576</v>
      </c>
      <c r="AO9" s="78">
        <f>+AN9*'Global Inputs'!$C$7</f>
        <v>113.21685298</v>
      </c>
      <c r="AP9" s="80">
        <f>AA9*(1-AJ9)</f>
        <v>0.35</v>
      </c>
      <c r="AQ9" s="78">
        <f>AP9*K9/1000</f>
        <v>12.658346399999999</v>
      </c>
      <c r="AR9" s="78">
        <f>+AQ9*'Global Inputs'!$C$6</f>
        <v>43.228252955999999</v>
      </c>
      <c r="AS9" s="78">
        <f>+AR9*'Global Inputs'!$C$7</f>
        <v>3.6023544129999996</v>
      </c>
      <c r="AT9" s="80">
        <f>AE9*(1-AK9)</f>
        <v>8.7196223355050559</v>
      </c>
      <c r="AU9" s="78">
        <f>AT9*K9/1000</f>
        <v>315.36000000000007</v>
      </c>
      <c r="AV9" s="78">
        <f>+AU9*'Global Inputs'!$C$6</f>
        <v>1076.9544000000003</v>
      </c>
      <c r="AW9" s="78">
        <f>+AV9*'Global Inputs'!$C$7</f>
        <v>89.746200000000016</v>
      </c>
      <c r="AX9" s="102">
        <v>3600</v>
      </c>
      <c r="AY9" s="102">
        <v>0</v>
      </c>
      <c r="AZ9" s="44"/>
    </row>
    <row r="10" spans="1:52" x14ac:dyDescent="0.3">
      <c r="A10" s="44"/>
      <c r="B10" s="44"/>
      <c r="C10" s="81"/>
      <c r="D10" s="82"/>
      <c r="E10" s="82"/>
      <c r="F10" s="83"/>
      <c r="G10" s="44"/>
      <c r="H10" s="45"/>
      <c r="I10" s="45"/>
      <c r="J10" s="45"/>
      <c r="K10" s="45"/>
      <c r="L10" s="45"/>
      <c r="M10" s="44"/>
      <c r="N10" s="45"/>
      <c r="O10" s="45"/>
      <c r="P10" s="82"/>
      <c r="Q10" s="82"/>
      <c r="R10" s="83"/>
      <c r="S10" s="82"/>
      <c r="T10" s="82"/>
      <c r="U10" s="83"/>
      <c r="V10" s="118"/>
      <c r="W10" s="84"/>
      <c r="X10" s="55"/>
      <c r="Y10" s="55"/>
      <c r="Z10" s="55"/>
      <c r="AA10" s="122"/>
      <c r="AB10" s="55"/>
      <c r="AC10" s="55"/>
      <c r="AD10" s="55"/>
      <c r="AE10" s="84"/>
      <c r="AF10" s="55"/>
      <c r="AG10" s="55"/>
      <c r="AH10" s="55"/>
      <c r="AI10" s="85"/>
      <c r="AJ10" s="85"/>
      <c r="AK10" s="85"/>
      <c r="AL10" s="55"/>
      <c r="AM10" s="55"/>
      <c r="AN10" s="55"/>
      <c r="AO10" s="55"/>
      <c r="AP10" s="55"/>
      <c r="AQ10" s="55"/>
      <c r="AR10" s="55"/>
      <c r="AS10" s="55"/>
      <c r="AT10" s="55"/>
      <c r="AU10" s="55"/>
      <c r="AV10" s="55"/>
      <c r="AW10" s="55"/>
      <c r="AX10" s="109"/>
      <c r="AY10" s="109"/>
      <c r="AZ10" s="44"/>
    </row>
    <row r="11" spans="1:52" ht="16.5" x14ac:dyDescent="0.3">
      <c r="A11" s="66" t="s">
        <v>70</v>
      </c>
      <c r="B11" s="44"/>
      <c r="C11" s="67">
        <f>SUM(C12:C16)</f>
        <v>1</v>
      </c>
      <c r="D11" s="68">
        <v>5544000</v>
      </c>
      <c r="E11" s="69">
        <f t="shared" ref="E11:E16" si="4">D11*10.7639</f>
        <v>59675061.599999994</v>
      </c>
      <c r="F11" s="70"/>
      <c r="G11" s="44"/>
      <c r="H11" s="72"/>
      <c r="I11" s="72"/>
      <c r="J11" s="72"/>
      <c r="K11" s="72"/>
      <c r="L11" s="72"/>
      <c r="M11" s="44"/>
      <c r="N11" s="72" t="s">
        <v>56</v>
      </c>
      <c r="O11" s="72"/>
      <c r="P11" s="69">
        <f>SUM(P12:P16)</f>
        <v>2669.1588000000002</v>
      </c>
      <c r="Q11" s="68">
        <v>2720</v>
      </c>
      <c r="R11" s="70">
        <f t="shared" ref="R11:R16" si="5">Q11/SUM($Q$4,$Q$11,$Q$18,$Q$24,$Q$28)</f>
        <v>0.28333333333333333</v>
      </c>
      <c r="S11" s="68">
        <v>1630</v>
      </c>
      <c r="T11" s="69">
        <f t="shared" ref="T11:T16" si="6">S11*3600</f>
        <v>5868000</v>
      </c>
      <c r="U11" s="70">
        <f t="shared" ref="U11:U16" si="7">S11/$S$33</f>
        <v>0.36877828054298645</v>
      </c>
      <c r="V11" s="118"/>
      <c r="W11" s="86"/>
      <c r="X11" s="78"/>
      <c r="Y11" s="78"/>
      <c r="Z11" s="78"/>
      <c r="AA11" s="123"/>
      <c r="AB11" s="78"/>
      <c r="AC11" s="78"/>
      <c r="AD11" s="78"/>
      <c r="AE11" s="86"/>
      <c r="AF11" s="78"/>
      <c r="AG11" s="78"/>
      <c r="AH11" s="78"/>
      <c r="AI11" s="87"/>
      <c r="AJ11" s="87"/>
      <c r="AK11" s="87"/>
      <c r="AL11" s="78"/>
      <c r="AM11" s="78"/>
      <c r="AN11" s="78"/>
      <c r="AO11" s="78"/>
      <c r="AP11" s="78"/>
      <c r="AQ11" s="78"/>
      <c r="AR11" s="78"/>
      <c r="AS11" s="78"/>
      <c r="AT11" s="78"/>
      <c r="AU11" s="78"/>
      <c r="AV11" s="78"/>
      <c r="AW11" s="78"/>
      <c r="AX11" s="111"/>
      <c r="AY11" s="111"/>
      <c r="AZ11" s="44"/>
    </row>
    <row r="12" spans="1:52" x14ac:dyDescent="0.3">
      <c r="A12" s="50" t="s">
        <v>400</v>
      </c>
      <c r="B12" s="44"/>
      <c r="C12" s="71">
        <v>0.15</v>
      </c>
      <c r="D12" s="69">
        <f>$D$11*C12</f>
        <v>831600</v>
      </c>
      <c r="E12" s="69">
        <f t="shared" si="4"/>
        <v>8951259.2400000002</v>
      </c>
      <c r="F12" s="70">
        <f>D12/$D$33</f>
        <v>2.6595030221625252E-2</v>
      </c>
      <c r="G12" s="44"/>
      <c r="H12" s="73">
        <v>140</v>
      </c>
      <c r="I12" s="73">
        <v>1</v>
      </c>
      <c r="J12" s="72">
        <f>H12*I12</f>
        <v>140</v>
      </c>
      <c r="K12" s="72">
        <f>J12*'Global Inputs'!$C$5</f>
        <v>1506.9459999999999</v>
      </c>
      <c r="L12" s="73">
        <v>1</v>
      </c>
      <c r="M12" s="44"/>
      <c r="N12" s="73">
        <v>1500</v>
      </c>
      <c r="O12" s="73" t="s">
        <v>67</v>
      </c>
      <c r="P12" s="69">
        <f>(N12*D12)/10^6</f>
        <v>1247.4000000000001</v>
      </c>
      <c r="Q12" s="69">
        <f>Q11*(P12/P11)</f>
        <v>1271.1600373870599</v>
      </c>
      <c r="R12" s="70">
        <f t="shared" si="5"/>
        <v>0.13241250389448542</v>
      </c>
      <c r="S12" s="76" cm="1">
        <f t="array" ref="S12">(E12/SUMPRODUCT($E$12:$E$16,IF($O$12:$O$16="Gas",1,0)))*$S$11*(O12="Gas")</f>
        <v>277.84090909090918</v>
      </c>
      <c r="T12" s="69">
        <f t="shared" si="6"/>
        <v>1000227.2727272731</v>
      </c>
      <c r="U12" s="70">
        <f t="shared" si="7"/>
        <v>6.2859934183463612E-2</v>
      </c>
      <c r="V12" s="118"/>
      <c r="W12" s="77">
        <f>425*292.8104/K12</f>
        <v>82.580543695659983</v>
      </c>
      <c r="X12" s="78">
        <f>W12*K12/1000</f>
        <v>124.44442000000002</v>
      </c>
      <c r="Y12" s="78">
        <f>+X12*'Global Inputs'!$C$6</f>
        <v>424.97769430000005</v>
      </c>
      <c r="Z12" s="78">
        <f>+Y12*'Global Inputs'!$C$7</f>
        <v>35.414807858333333</v>
      </c>
      <c r="AA12" s="121">
        <f>200*0.9*292.81/K12</f>
        <v>34.975241315879934</v>
      </c>
      <c r="AB12" s="78">
        <f>AA12*K12/1000</f>
        <v>52.705800000000004</v>
      </c>
      <c r="AC12" s="78">
        <f>+AB12*'Global Inputs'!$C$6</f>
        <v>179.990307</v>
      </c>
      <c r="AD12" s="78">
        <f>+AC12*'Global Inputs'!$C$7</f>
        <v>14.99919225</v>
      </c>
      <c r="AE12" s="77">
        <f>(15*12+96)*292/K12</f>
        <v>53.480350324431008</v>
      </c>
      <c r="AF12" s="78">
        <f>AE12*K12/1000</f>
        <v>80.591999999999999</v>
      </c>
      <c r="AG12" s="78">
        <f>+AF12*'Global Inputs'!$C$6</f>
        <v>275.22167999999999</v>
      </c>
      <c r="AH12" s="78">
        <f>+AG12*'Global Inputs'!$C$7</f>
        <v>22.935139999999997</v>
      </c>
      <c r="AI12" s="79">
        <v>0</v>
      </c>
      <c r="AJ12" s="79">
        <v>0.5</v>
      </c>
      <c r="AK12" s="79">
        <v>0</v>
      </c>
      <c r="AL12" s="80">
        <f>W12*(1-AI12)</f>
        <v>82.580543695659983</v>
      </c>
      <c r="AM12" s="78">
        <f>AL12*K12/1000</f>
        <v>124.44442000000002</v>
      </c>
      <c r="AN12" s="78">
        <f>+AM12*'Global Inputs'!$C$6</f>
        <v>424.97769430000005</v>
      </c>
      <c r="AO12" s="78">
        <f>+AN12*'Global Inputs'!$C$7</f>
        <v>35.414807858333333</v>
      </c>
      <c r="AP12" s="80">
        <f>AA12*(1-AJ12)</f>
        <v>17.487620657939967</v>
      </c>
      <c r="AQ12" s="78">
        <f>AP12*K12/1000</f>
        <v>26.352900000000002</v>
      </c>
      <c r="AR12" s="78">
        <f>+AQ12*'Global Inputs'!$C$6</f>
        <v>89.995153500000001</v>
      </c>
      <c r="AS12" s="78">
        <f>+AR12*'Global Inputs'!$C$7</f>
        <v>7.4995961250000001</v>
      </c>
      <c r="AT12" s="80">
        <f>AE12*(1-AK12)</f>
        <v>53.480350324431008</v>
      </c>
      <c r="AU12" s="78">
        <f>AT12*K12/1000</f>
        <v>80.591999999999999</v>
      </c>
      <c r="AV12" s="78">
        <f>+AU12*'Global Inputs'!$C$6</f>
        <v>275.22167999999999</v>
      </c>
      <c r="AW12" s="78">
        <f>+AV12*'Global Inputs'!$C$7</f>
        <v>22.935139999999997</v>
      </c>
      <c r="AX12" s="102">
        <v>3600</v>
      </c>
      <c r="AY12" s="102">
        <v>15</v>
      </c>
      <c r="AZ12" s="44"/>
    </row>
    <row r="13" spans="1:52" x14ac:dyDescent="0.3">
      <c r="A13" s="50" t="s">
        <v>401</v>
      </c>
      <c r="B13" s="44"/>
      <c r="C13" s="71">
        <v>0.13</v>
      </c>
      <c r="D13" s="69">
        <f>$D$11*C13</f>
        <v>720720</v>
      </c>
      <c r="E13" s="69">
        <f t="shared" si="4"/>
        <v>7757758.0079999994</v>
      </c>
      <c r="F13" s="70">
        <f>D13/$D$33</f>
        <v>2.3049026192075217E-2</v>
      </c>
      <c r="G13" s="44"/>
      <c r="H13" s="73">
        <v>1100</v>
      </c>
      <c r="I13" s="73">
        <v>20</v>
      </c>
      <c r="J13" s="72">
        <f>H13*I13</f>
        <v>22000</v>
      </c>
      <c r="K13" s="72">
        <f>J13*'Global Inputs'!$C$5</f>
        <v>236805.8</v>
      </c>
      <c r="L13" s="73">
        <f>K13/540</f>
        <v>438.52925925925922</v>
      </c>
      <c r="M13" s="44"/>
      <c r="N13" s="73">
        <v>312</v>
      </c>
      <c r="O13" s="73" t="s">
        <v>67</v>
      </c>
      <c r="P13" s="69">
        <f>(N13*D13)/10^6</f>
        <v>224.86464000000001</v>
      </c>
      <c r="Q13" s="69">
        <f>Q11*(P13/P11)</f>
        <v>229.14778273964066</v>
      </c>
      <c r="R13" s="70">
        <f t="shared" si="5"/>
        <v>2.3869560702045902E-2</v>
      </c>
      <c r="S13" s="76" cm="1">
        <f t="array" ref="S13">(E13/SUMPRODUCT($E$12:$E$16,IF($O$12:$O$16="Gas",1,0)))*$S$11*(O13="Gas")</f>
        <v>240.79545454545456</v>
      </c>
      <c r="T13" s="69">
        <f t="shared" si="6"/>
        <v>866863.63636363647</v>
      </c>
      <c r="U13" s="70">
        <f t="shared" si="7"/>
        <v>5.4478609625668452E-2</v>
      </c>
      <c r="V13" s="118"/>
      <c r="W13" s="77">
        <f>(7500*0.93)*J13/20500*292.81/K13</f>
        <v>9.2556431287145671</v>
      </c>
      <c r="X13" s="78">
        <f>W13*K13/1000</f>
        <v>2191.7899756097559</v>
      </c>
      <c r="Y13" s="78">
        <f>+X13*'Global Inputs'!$C$6</f>
        <v>7484.9627667073164</v>
      </c>
      <c r="Z13" s="78">
        <f>+Y13*'Global Inputs'!$C$7</f>
        <v>623.7468972256097</v>
      </c>
      <c r="AA13" s="121">
        <v>6.2</v>
      </c>
      <c r="AB13" s="78">
        <f>AA13*K13/1000</f>
        <v>1468.19596</v>
      </c>
      <c r="AC13" s="78">
        <f>+AB13*'Global Inputs'!$C$6</f>
        <v>5013.8892034</v>
      </c>
      <c r="AD13" s="78">
        <f>+AC13*'Global Inputs'!$C$7</f>
        <v>417.82410028333334</v>
      </c>
      <c r="AE13" s="77">
        <v>6</v>
      </c>
      <c r="AF13" s="78">
        <f>AE13*K13/1000</f>
        <v>1420.8347999999999</v>
      </c>
      <c r="AG13" s="78">
        <f>+AF13*'Global Inputs'!$C$6</f>
        <v>4852.150842</v>
      </c>
      <c r="AH13" s="78">
        <f>+AG13*'Global Inputs'!$C$7</f>
        <v>404.34590349999996</v>
      </c>
      <c r="AI13" s="79">
        <v>0</v>
      </c>
      <c r="AJ13" s="79">
        <v>0.5</v>
      </c>
      <c r="AK13" s="79">
        <v>0</v>
      </c>
      <c r="AL13" s="80">
        <f>W13*(1-AI13)</f>
        <v>9.2556431287145671</v>
      </c>
      <c r="AM13" s="78">
        <f>AL13*K13/1000</f>
        <v>2191.7899756097559</v>
      </c>
      <c r="AN13" s="78">
        <f>+AM13*'Global Inputs'!$C$6</f>
        <v>7484.9627667073164</v>
      </c>
      <c r="AO13" s="78">
        <f>+AN13*'Global Inputs'!$C$7</f>
        <v>623.7468972256097</v>
      </c>
      <c r="AP13" s="80">
        <f>AA13*(1-AJ13)</f>
        <v>3.1</v>
      </c>
      <c r="AQ13" s="78">
        <f>AP13*K13/1000</f>
        <v>734.09798000000001</v>
      </c>
      <c r="AR13" s="78">
        <f>+AQ13*'Global Inputs'!$C$6</f>
        <v>2506.9446017</v>
      </c>
      <c r="AS13" s="78">
        <f>+AR13*'Global Inputs'!$C$7</f>
        <v>208.91205014166667</v>
      </c>
      <c r="AT13" s="80">
        <f>AE13*(1-AK13)</f>
        <v>6</v>
      </c>
      <c r="AU13" s="78">
        <f>AT13*K13/1000</f>
        <v>1420.8347999999999</v>
      </c>
      <c r="AV13" s="78">
        <f>+AU13*'Global Inputs'!$C$6</f>
        <v>4852.150842</v>
      </c>
      <c r="AW13" s="78">
        <f>+AV13*'Global Inputs'!$C$7</f>
        <v>404.34590349999996</v>
      </c>
      <c r="AX13" s="102">
        <v>12000</v>
      </c>
      <c r="AY13" s="102">
        <v>0</v>
      </c>
      <c r="AZ13" s="44"/>
    </row>
    <row r="14" spans="1:52" x14ac:dyDescent="0.3">
      <c r="A14" s="50" t="s">
        <v>449</v>
      </c>
      <c r="B14" s="44"/>
      <c r="C14" s="71">
        <v>0.12</v>
      </c>
      <c r="D14" s="69">
        <f>$D$11*C14</f>
        <v>665280</v>
      </c>
      <c r="E14" s="69">
        <f t="shared" si="4"/>
        <v>7161007.392</v>
      </c>
      <c r="F14" s="70">
        <f>D14/$D$33</f>
        <v>2.12760241773002E-2</v>
      </c>
      <c r="G14" s="44"/>
      <c r="H14" s="73">
        <v>1100</v>
      </c>
      <c r="I14" s="73">
        <v>20</v>
      </c>
      <c r="J14" s="72">
        <f>H14*I14</f>
        <v>22000</v>
      </c>
      <c r="K14" s="72">
        <f>J14*'Global Inputs'!$C$5</f>
        <v>236805.8</v>
      </c>
      <c r="L14" s="73">
        <f>K14/540</f>
        <v>438.52925925925922</v>
      </c>
      <c r="M14" s="44"/>
      <c r="N14" s="73">
        <v>312</v>
      </c>
      <c r="O14" s="73" t="s">
        <v>69</v>
      </c>
      <c r="P14" s="69">
        <f>(N14*D14)/10^6</f>
        <v>207.56736000000001</v>
      </c>
      <c r="Q14" s="69">
        <f>Q11*(P14/P11)</f>
        <v>211.52103022120676</v>
      </c>
      <c r="R14" s="70">
        <f t="shared" si="5"/>
        <v>2.2033440648042371E-2</v>
      </c>
      <c r="S14" s="76" cm="1">
        <f t="array" ref="S14">(E14/SUMPRODUCT($E$12:$E$16,IF($O$12:$O$16="Gas",1,0)))*$S$11*(O14="Gas")</f>
        <v>0</v>
      </c>
      <c r="T14" s="69">
        <f t="shared" si="6"/>
        <v>0</v>
      </c>
      <c r="U14" s="70">
        <f t="shared" si="7"/>
        <v>0</v>
      </c>
      <c r="V14" s="118"/>
      <c r="W14" s="77">
        <f>(7500*0.93)*J14/20500*292.81/K14</f>
        <v>9.2556431287145671</v>
      </c>
      <c r="X14" s="78">
        <f>W14*K14/1000</f>
        <v>2191.7899756097559</v>
      </c>
      <c r="Y14" s="78">
        <f>+X14*'Global Inputs'!$C$6</f>
        <v>7484.9627667073164</v>
      </c>
      <c r="Z14" s="78">
        <f>+Y14*'Global Inputs'!$C$7</f>
        <v>623.7468972256097</v>
      </c>
      <c r="AA14" s="121">
        <v>6.2</v>
      </c>
      <c r="AB14" s="78">
        <f>AA14*K14/1000</f>
        <v>1468.19596</v>
      </c>
      <c r="AC14" s="78">
        <f>+AB14*'Global Inputs'!$C$6</f>
        <v>5013.8892034</v>
      </c>
      <c r="AD14" s="78">
        <f>+AC14*'Global Inputs'!$C$7</f>
        <v>417.82410028333334</v>
      </c>
      <c r="AE14" s="77">
        <v>6</v>
      </c>
      <c r="AF14" s="78">
        <f>AE14*K14/1000</f>
        <v>1420.8347999999999</v>
      </c>
      <c r="AG14" s="78">
        <f>+AF14*'Global Inputs'!$C$6</f>
        <v>4852.150842</v>
      </c>
      <c r="AH14" s="78">
        <f>+AG14*'Global Inputs'!$C$7</f>
        <v>404.34590349999996</v>
      </c>
      <c r="AI14" s="79">
        <v>0</v>
      </c>
      <c r="AJ14" s="79">
        <v>0.5</v>
      </c>
      <c r="AK14" s="79">
        <v>0</v>
      </c>
      <c r="AL14" s="80">
        <f>W14*(1-AI14)</f>
        <v>9.2556431287145671</v>
      </c>
      <c r="AM14" s="78">
        <f>AL14*K14/1000</f>
        <v>2191.7899756097559</v>
      </c>
      <c r="AN14" s="78">
        <f>+AM14*'Global Inputs'!$C$6</f>
        <v>7484.9627667073164</v>
      </c>
      <c r="AO14" s="78">
        <f>+AN14*'Global Inputs'!$C$7</f>
        <v>623.7468972256097</v>
      </c>
      <c r="AP14" s="80">
        <f>AA14*(1-AJ14)</f>
        <v>3.1</v>
      </c>
      <c r="AQ14" s="78">
        <f>AP14*K14/1000</f>
        <v>734.09798000000001</v>
      </c>
      <c r="AR14" s="78">
        <f>+AQ14*'Global Inputs'!$C$6</f>
        <v>2506.9446017</v>
      </c>
      <c r="AS14" s="78">
        <f>+AR14*'Global Inputs'!$C$7</f>
        <v>208.91205014166667</v>
      </c>
      <c r="AT14" s="80">
        <f>AE14*(1-AK14)</f>
        <v>6</v>
      </c>
      <c r="AU14" s="78">
        <f>AT14*K14/1000</f>
        <v>1420.8347999999999</v>
      </c>
      <c r="AV14" s="78">
        <f>+AU14*'Global Inputs'!$C$6</f>
        <v>4852.150842</v>
      </c>
      <c r="AW14" s="78">
        <f>+AV14*'Global Inputs'!$C$7</f>
        <v>404.34590349999996</v>
      </c>
      <c r="AX14" s="102">
        <v>5000</v>
      </c>
      <c r="AY14" s="102">
        <v>0</v>
      </c>
      <c r="AZ14" s="44"/>
    </row>
    <row r="15" spans="1:52" x14ac:dyDescent="0.3">
      <c r="A15" s="50" t="s">
        <v>402</v>
      </c>
      <c r="B15" s="44"/>
      <c r="C15" s="71">
        <v>0.25</v>
      </c>
      <c r="D15" s="69">
        <f>$D$11*C15</f>
        <v>1386000</v>
      </c>
      <c r="E15" s="69">
        <f t="shared" si="4"/>
        <v>14918765.399999999</v>
      </c>
      <c r="F15" s="70">
        <f>D15/$D$33</f>
        <v>4.4325050369375417E-2</v>
      </c>
      <c r="G15" s="44"/>
      <c r="H15" s="73">
        <v>140</v>
      </c>
      <c r="I15" s="73">
        <v>1</v>
      </c>
      <c r="J15" s="72">
        <f>H15*I15</f>
        <v>140</v>
      </c>
      <c r="K15" s="72">
        <f>J15*'Global Inputs'!$C$5</f>
        <v>1506.9459999999999</v>
      </c>
      <c r="L15" s="73">
        <v>1</v>
      </c>
      <c r="M15" s="44"/>
      <c r="N15" s="73">
        <v>235</v>
      </c>
      <c r="O15" s="73" t="s">
        <v>67</v>
      </c>
      <c r="P15" s="69">
        <f>(N15*D15)/10^6</f>
        <v>325.70999999999998</v>
      </c>
      <c r="Q15" s="69">
        <f>Q11*(P15/P11)</f>
        <v>331.9140097621767</v>
      </c>
      <c r="R15" s="70">
        <f t="shared" si="5"/>
        <v>3.4574376016893407E-2</v>
      </c>
      <c r="S15" s="76" cm="1">
        <f t="array" ref="S15">(E15/SUMPRODUCT($E$12:$E$16,IF($O$12:$O$16="Gas",1,0)))*$S$11*(O15="Gas")</f>
        <v>463.06818181818187</v>
      </c>
      <c r="T15" s="69">
        <f t="shared" si="6"/>
        <v>1667045.4545454548</v>
      </c>
      <c r="U15" s="70">
        <f t="shared" si="7"/>
        <v>0.10476655697243933</v>
      </c>
      <c r="V15" s="118"/>
      <c r="W15" s="77">
        <v>9</v>
      </c>
      <c r="X15" s="78">
        <f>W15*K15/1000</f>
        <v>13.562513999999998</v>
      </c>
      <c r="Y15" s="78">
        <f>+X15*'Global Inputs'!$C$6</f>
        <v>46.315985309999995</v>
      </c>
      <c r="Z15" s="78">
        <f>+Y15*'Global Inputs'!$C$7</f>
        <v>3.8596654424999994</v>
      </c>
      <c r="AA15" s="121">
        <v>0.7</v>
      </c>
      <c r="AB15" s="78">
        <f>AA15*K15/1000</f>
        <v>1.0548621999999999</v>
      </c>
      <c r="AC15" s="78">
        <f>+AB15*'Global Inputs'!$C$6</f>
        <v>3.6023544129999996</v>
      </c>
      <c r="AD15" s="78">
        <f>+AC15*'Global Inputs'!$C$7</f>
        <v>0.30019620108333328</v>
      </c>
      <c r="AE15" s="77">
        <v>11</v>
      </c>
      <c r="AF15" s="78">
        <f>AE15*K15/1000</f>
        <v>16.576405999999999</v>
      </c>
      <c r="AG15" s="78">
        <f>+AF15*'Global Inputs'!$C$6</f>
        <v>56.608426489999999</v>
      </c>
      <c r="AH15" s="78">
        <f>+AG15*'Global Inputs'!$C$7</f>
        <v>4.7173688741666666</v>
      </c>
      <c r="AI15" s="79">
        <v>0</v>
      </c>
      <c r="AJ15" s="79">
        <v>0.5</v>
      </c>
      <c r="AK15" s="79">
        <v>0</v>
      </c>
      <c r="AL15" s="80">
        <f>W15*(1-AI15)</f>
        <v>9</v>
      </c>
      <c r="AM15" s="78">
        <f>AL15*K15/1000</f>
        <v>13.562513999999998</v>
      </c>
      <c r="AN15" s="78">
        <f>+AM15*'Global Inputs'!$C$6</f>
        <v>46.315985309999995</v>
      </c>
      <c r="AO15" s="78">
        <f>+AN15*'Global Inputs'!$C$7</f>
        <v>3.8596654424999994</v>
      </c>
      <c r="AP15" s="80">
        <f>AA15*(1-AJ15)</f>
        <v>0.35</v>
      </c>
      <c r="AQ15" s="78">
        <f>AP15*K15/1000</f>
        <v>0.52743109999999993</v>
      </c>
      <c r="AR15" s="78">
        <f>+AQ15*'Global Inputs'!$C$6</f>
        <v>1.8011772064999998</v>
      </c>
      <c r="AS15" s="78">
        <f>+AR15*'Global Inputs'!$C$7</f>
        <v>0.15009810054166664</v>
      </c>
      <c r="AT15" s="80">
        <f>AE15*(1-AK15)</f>
        <v>11</v>
      </c>
      <c r="AU15" s="78">
        <f>AT15*K15/1000</f>
        <v>16.576405999999999</v>
      </c>
      <c r="AV15" s="78">
        <f>+AU15*'Global Inputs'!$C$6</f>
        <v>56.608426489999999</v>
      </c>
      <c r="AW15" s="78">
        <f>+AV15*'Global Inputs'!$C$7</f>
        <v>4.7173688741666666</v>
      </c>
      <c r="AX15" s="102">
        <v>720</v>
      </c>
      <c r="AY15" s="102">
        <v>5</v>
      </c>
      <c r="AZ15" s="44"/>
    </row>
    <row r="16" spans="1:52" x14ac:dyDescent="0.3">
      <c r="A16" s="50" t="s">
        <v>403</v>
      </c>
      <c r="B16" s="44"/>
      <c r="C16" s="71">
        <v>0.35</v>
      </c>
      <c r="D16" s="69">
        <f>$D$11*C16</f>
        <v>1940399.9999999998</v>
      </c>
      <c r="E16" s="69">
        <f t="shared" si="4"/>
        <v>20886271.559999995</v>
      </c>
      <c r="F16" s="70">
        <f>D16/$D$33</f>
        <v>6.2055070517125582E-2</v>
      </c>
      <c r="G16" s="44"/>
      <c r="H16" s="73">
        <v>10000</v>
      </c>
      <c r="I16" s="73">
        <v>2</v>
      </c>
      <c r="J16" s="72">
        <f>H16*I16</f>
        <v>20000</v>
      </c>
      <c r="K16" s="72">
        <f>J16*'Global Inputs'!$C$5</f>
        <v>215278</v>
      </c>
      <c r="L16" s="73">
        <f>K16/3500</f>
        <v>61.508000000000003</v>
      </c>
      <c r="M16" s="44"/>
      <c r="N16" s="73">
        <v>342</v>
      </c>
      <c r="O16" s="73" t="s">
        <v>67</v>
      </c>
      <c r="P16" s="69">
        <f>(N16*D16)/10^6</f>
        <v>663.6167999999999</v>
      </c>
      <c r="Q16" s="69">
        <f>Q11*(P16/P11)</f>
        <v>676.25713988991572</v>
      </c>
      <c r="R16" s="70">
        <f t="shared" si="5"/>
        <v>7.0443452071866225E-2</v>
      </c>
      <c r="S16" s="76" cm="1">
        <f t="array" ref="S16">(E16/SUMPRODUCT($E$12:$E$16,IF($O$12:$O$16="Gas",1,0)))*$S$11*(O16="Gas")</f>
        <v>648.2954545454545</v>
      </c>
      <c r="T16" s="69">
        <f t="shared" si="6"/>
        <v>2333863.6363636362</v>
      </c>
      <c r="U16" s="70">
        <f t="shared" si="7"/>
        <v>0.14667317976141506</v>
      </c>
      <c r="V16" s="118"/>
      <c r="W16" s="77">
        <v>8</v>
      </c>
      <c r="X16" s="78">
        <f>W16*K16/1000</f>
        <v>1722.2239999999999</v>
      </c>
      <c r="Y16" s="78">
        <f>+X16*'Global Inputs'!$C$6</f>
        <v>5881.3949599999996</v>
      </c>
      <c r="Z16" s="78">
        <f>+Y16*'Global Inputs'!$C$7</f>
        <v>490.1162466666666</v>
      </c>
      <c r="AA16" s="121">
        <v>0.7</v>
      </c>
      <c r="AB16" s="78">
        <f>AA16*K16/1000</f>
        <v>150.69459999999998</v>
      </c>
      <c r="AC16" s="78">
        <f>+AB16*'Global Inputs'!$C$6</f>
        <v>514.62205899999992</v>
      </c>
      <c r="AD16" s="78">
        <f>+AC16*'Global Inputs'!$C$7</f>
        <v>42.885171583333324</v>
      </c>
      <c r="AE16" s="77">
        <v>11</v>
      </c>
      <c r="AF16" s="78">
        <f>AE16*K16/1000</f>
        <v>2368.058</v>
      </c>
      <c r="AG16" s="78">
        <f>+AF16*'Global Inputs'!$C$6</f>
        <v>8086.9180699999997</v>
      </c>
      <c r="AH16" s="78">
        <f>+AG16*'Global Inputs'!$C$7</f>
        <v>673.90983916666664</v>
      </c>
      <c r="AI16" s="79">
        <v>0</v>
      </c>
      <c r="AJ16" s="79">
        <v>0.5</v>
      </c>
      <c r="AK16" s="79">
        <v>0</v>
      </c>
      <c r="AL16" s="80">
        <f>W16*(1-AI16)</f>
        <v>8</v>
      </c>
      <c r="AM16" s="78">
        <f>AL16*K16/1000</f>
        <v>1722.2239999999999</v>
      </c>
      <c r="AN16" s="78">
        <f>+AM16*'Global Inputs'!$C$6</f>
        <v>5881.3949599999996</v>
      </c>
      <c r="AO16" s="78">
        <f>+AN16*'Global Inputs'!$C$7</f>
        <v>490.1162466666666</v>
      </c>
      <c r="AP16" s="80">
        <f>AA16*(1-AJ16)</f>
        <v>0.35</v>
      </c>
      <c r="AQ16" s="78">
        <f>AP16*K16/1000</f>
        <v>75.34729999999999</v>
      </c>
      <c r="AR16" s="78">
        <f>+AQ16*'Global Inputs'!$C$6</f>
        <v>257.31102949999996</v>
      </c>
      <c r="AS16" s="78">
        <f>+AR16*'Global Inputs'!$C$7</f>
        <v>21.442585791666662</v>
      </c>
      <c r="AT16" s="80">
        <f>AE16*(1-AK16)</f>
        <v>11</v>
      </c>
      <c r="AU16" s="78">
        <f>AT16*K16/1000</f>
        <v>2368.058</v>
      </c>
      <c r="AV16" s="78">
        <f>+AU16*'Global Inputs'!$C$6</f>
        <v>8086.9180699999997</v>
      </c>
      <c r="AW16" s="78">
        <f>+AV16*'Global Inputs'!$C$7</f>
        <v>673.90983916666664</v>
      </c>
      <c r="AX16" s="102">
        <v>0</v>
      </c>
      <c r="AY16" s="102">
        <v>0</v>
      </c>
      <c r="AZ16" s="44"/>
    </row>
    <row r="17" spans="1:52" x14ac:dyDescent="0.3">
      <c r="A17" s="44"/>
      <c r="B17" s="44"/>
      <c r="C17" s="81"/>
      <c r="D17" s="82"/>
      <c r="E17" s="82"/>
      <c r="F17" s="83"/>
      <c r="G17" s="44"/>
      <c r="H17" s="45"/>
      <c r="I17" s="45"/>
      <c r="J17" s="45"/>
      <c r="K17" s="45"/>
      <c r="L17" s="45"/>
      <c r="M17" s="44"/>
      <c r="N17" s="45"/>
      <c r="O17" s="45"/>
      <c r="P17" s="82"/>
      <c r="Q17" s="82"/>
      <c r="R17" s="83"/>
      <c r="S17" s="82"/>
      <c r="T17" s="82"/>
      <c r="U17" s="83"/>
      <c r="V17" s="118"/>
      <c r="W17" s="84"/>
      <c r="X17" s="44"/>
      <c r="Y17" s="44"/>
      <c r="Z17" s="44"/>
      <c r="AA17" s="122"/>
      <c r="AB17" s="44"/>
      <c r="AC17" s="44"/>
      <c r="AD17" s="44"/>
      <c r="AE17" s="84"/>
      <c r="AF17" s="44"/>
      <c r="AG17" s="44"/>
      <c r="AH17" s="44"/>
      <c r="AI17" s="85"/>
      <c r="AJ17" s="85"/>
      <c r="AK17" s="85"/>
      <c r="AL17" s="44"/>
      <c r="AM17" s="44"/>
      <c r="AN17" s="44"/>
      <c r="AO17" s="44"/>
      <c r="AP17" s="44"/>
      <c r="AQ17" s="44"/>
      <c r="AR17" s="44"/>
      <c r="AS17" s="44"/>
      <c r="AT17" s="44"/>
      <c r="AU17" s="44"/>
      <c r="AV17" s="44"/>
      <c r="AW17" s="44"/>
      <c r="AX17" s="109"/>
      <c r="AY17" s="109"/>
      <c r="AZ17" s="44"/>
    </row>
    <row r="18" spans="1:52" ht="16.5" x14ac:dyDescent="0.3">
      <c r="A18" s="66" t="s">
        <v>71</v>
      </c>
      <c r="B18" s="44"/>
      <c r="C18" s="67">
        <f>SUM(C19:C22)</f>
        <v>1</v>
      </c>
      <c r="D18" s="68">
        <v>10711000</v>
      </c>
      <c r="E18" s="69">
        <f>D18*10.7639</f>
        <v>115292132.89999999</v>
      </c>
      <c r="F18" s="70"/>
      <c r="G18" s="44"/>
      <c r="H18" s="72"/>
      <c r="I18" s="72"/>
      <c r="J18" s="72"/>
      <c r="K18" s="72"/>
      <c r="L18" s="72"/>
      <c r="M18" s="44"/>
      <c r="N18" s="72" t="s">
        <v>56</v>
      </c>
      <c r="O18" s="72"/>
      <c r="P18" s="69">
        <f>SUM(P19:P22)</f>
        <v>2506.3739999999998</v>
      </c>
      <c r="Q18" s="68">
        <v>2500</v>
      </c>
      <c r="R18" s="70">
        <f>Q18/SUM($Q$4,$Q$11,$Q$18,$Q$24,$Q$28)</f>
        <v>0.26041666666666669</v>
      </c>
      <c r="S18" s="68">
        <v>1300</v>
      </c>
      <c r="T18" s="69">
        <f>S18*3600</f>
        <v>4680000</v>
      </c>
      <c r="U18" s="70">
        <f t="shared" ref="U18:U20" si="8">S18/$S$33</f>
        <v>0.29411764705882354</v>
      </c>
      <c r="V18" s="118"/>
      <c r="W18" s="86"/>
      <c r="X18" s="78"/>
      <c r="Y18" s="78"/>
      <c r="Z18" s="78"/>
      <c r="AA18" s="123"/>
      <c r="AB18" s="78"/>
      <c r="AC18" s="78"/>
      <c r="AD18" s="78"/>
      <c r="AE18" s="86"/>
      <c r="AF18" s="78"/>
      <c r="AG18" s="78"/>
      <c r="AH18" s="78"/>
      <c r="AI18" s="87"/>
      <c r="AJ18" s="87"/>
      <c r="AK18" s="87"/>
      <c r="AL18" s="78"/>
      <c r="AM18" s="78"/>
      <c r="AN18" s="78"/>
      <c r="AO18" s="78"/>
      <c r="AP18" s="78"/>
      <c r="AQ18" s="78"/>
      <c r="AR18" s="78"/>
      <c r="AS18" s="78"/>
      <c r="AT18" s="78"/>
      <c r="AU18" s="78"/>
      <c r="AV18" s="78"/>
      <c r="AW18" s="78"/>
      <c r="AX18" s="112"/>
      <c r="AY18" s="112"/>
      <c r="AZ18" s="44"/>
    </row>
    <row r="19" spans="1:52" x14ac:dyDescent="0.3">
      <c r="A19" s="50" t="s">
        <v>404</v>
      </c>
      <c r="B19" s="44"/>
      <c r="C19" s="71">
        <v>0.31</v>
      </c>
      <c r="D19" s="69">
        <f>$D$18*C19</f>
        <v>3320410</v>
      </c>
      <c r="E19" s="69">
        <f>D19*10.7639</f>
        <v>35740561.199000001</v>
      </c>
      <c r="F19" s="70">
        <f>D19/$D$33</f>
        <v>0.10618855735712687</v>
      </c>
      <c r="G19" s="44"/>
      <c r="H19" s="73">
        <v>1850</v>
      </c>
      <c r="I19" s="73">
        <v>12</v>
      </c>
      <c r="J19" s="72">
        <f>H19*I19</f>
        <v>22200</v>
      </c>
      <c r="K19" s="72">
        <f>J19*'Global Inputs'!$C$5</f>
        <v>238958.58</v>
      </c>
      <c r="L19" s="73">
        <f>K19/1000</f>
        <v>238.95857999999998</v>
      </c>
      <c r="M19" s="44"/>
      <c r="N19" s="73">
        <v>234</v>
      </c>
      <c r="O19" s="73" t="s">
        <v>67</v>
      </c>
      <c r="P19" s="69">
        <f>(N19*D19)/10^6</f>
        <v>776.97594000000004</v>
      </c>
      <c r="Q19" s="69">
        <f>Q18*(P19/P18)</f>
        <v>775.00000000000011</v>
      </c>
      <c r="R19" s="70">
        <f>Q19/SUM($Q$4,$Q$11,$Q$18,$Q$24,$Q$28)</f>
        <v>8.0729166666666685E-2</v>
      </c>
      <c r="S19" s="76" cm="1">
        <f t="array" ref="S19">(E19/SUMPRODUCT($E$19:$E$22,IF($O$19:$O$22="Gas",1,0)))*$S$18*(O19="Gas")</f>
        <v>419.79166666666669</v>
      </c>
      <c r="T19" s="69">
        <f>S19*3600</f>
        <v>1511250</v>
      </c>
      <c r="U19" s="70">
        <f t="shared" si="8"/>
        <v>9.4975490196078441E-2</v>
      </c>
      <c r="V19" s="118"/>
      <c r="W19" s="77">
        <v>9</v>
      </c>
      <c r="X19" s="78">
        <f>W19*K19/1000</f>
        <v>2150.6272199999999</v>
      </c>
      <c r="Y19" s="78">
        <f>+X19*'Global Inputs'!$C$6</f>
        <v>7344.3919562999999</v>
      </c>
      <c r="Z19" s="78">
        <f>+Y19*'Global Inputs'!$C$7</f>
        <v>612.03266302499992</v>
      </c>
      <c r="AA19" s="121">
        <f>(5000*0.93)*J19/20500*292.81/K19</f>
        <v>6.1704287524763792</v>
      </c>
      <c r="AB19" s="78">
        <f>AA19*K19/1000</f>
        <v>1474.476892682927</v>
      </c>
      <c r="AC19" s="78">
        <f>+AB19*'Global Inputs'!$C$6</f>
        <v>5035.3385885121961</v>
      </c>
      <c r="AD19" s="78">
        <f>+AC19*'Global Inputs'!$C$7</f>
        <v>419.61154904268301</v>
      </c>
      <c r="AE19" s="77">
        <v>6</v>
      </c>
      <c r="AF19" s="78">
        <f>AE19*K19/1000</f>
        <v>1433.7514799999999</v>
      </c>
      <c r="AG19" s="78">
        <f>+AF19*'Global Inputs'!$C$6</f>
        <v>4896.2613041999994</v>
      </c>
      <c r="AH19" s="78">
        <f>+AG19*'Global Inputs'!$C$7</f>
        <v>408.02177534999993</v>
      </c>
      <c r="AI19" s="79">
        <v>0</v>
      </c>
      <c r="AJ19" s="79">
        <v>0.5</v>
      </c>
      <c r="AK19" s="79">
        <v>0</v>
      </c>
      <c r="AL19" s="80">
        <f>W19*(1-AI19)</f>
        <v>9</v>
      </c>
      <c r="AM19" s="78">
        <f>AL19*K19/1000</f>
        <v>2150.6272199999999</v>
      </c>
      <c r="AN19" s="78">
        <f>+AM19*'Global Inputs'!$C$6</f>
        <v>7344.3919562999999</v>
      </c>
      <c r="AO19" s="78">
        <f>+AN19*'Global Inputs'!$C$7</f>
        <v>612.03266302499992</v>
      </c>
      <c r="AP19" s="80">
        <f>AA19*(1-AJ19)</f>
        <v>3.0852143762381896</v>
      </c>
      <c r="AQ19" s="78">
        <f>AP19*K19/1000</f>
        <v>737.23844634146349</v>
      </c>
      <c r="AR19" s="78">
        <f>+AQ19*'Global Inputs'!$C$6</f>
        <v>2517.6692942560981</v>
      </c>
      <c r="AS19" s="78">
        <f>+AR19*'Global Inputs'!$C$7</f>
        <v>209.8057745213415</v>
      </c>
      <c r="AT19" s="80">
        <f>AE19*(1-AK19)</f>
        <v>6</v>
      </c>
      <c r="AU19" s="78">
        <f>AT19*K19/1000</f>
        <v>1433.7514799999999</v>
      </c>
      <c r="AV19" s="78">
        <f>+AU19*'Global Inputs'!$C$6</f>
        <v>4896.2613041999994</v>
      </c>
      <c r="AW19" s="78">
        <f>+AV19*'Global Inputs'!$C$7</f>
        <v>408.02177534999993</v>
      </c>
      <c r="AX19" s="102">
        <v>12000</v>
      </c>
      <c r="AY19" s="102">
        <v>0</v>
      </c>
      <c r="AZ19" s="44"/>
    </row>
    <row r="20" spans="1:52" x14ac:dyDescent="0.3">
      <c r="A20" s="50" t="s">
        <v>405</v>
      </c>
      <c r="B20" s="44"/>
      <c r="C20" s="71">
        <v>0.04</v>
      </c>
      <c r="D20" s="69">
        <f>$D$18*C20</f>
        <v>428440</v>
      </c>
      <c r="E20" s="69">
        <f>D20*10.7639</f>
        <v>4611685.3159999996</v>
      </c>
      <c r="F20" s="70">
        <f>D20/$D$33</f>
        <v>1.3701749336403467E-2</v>
      </c>
      <c r="G20" s="44"/>
      <c r="H20" s="73">
        <v>1850</v>
      </c>
      <c r="I20" s="73">
        <v>12</v>
      </c>
      <c r="J20" s="72">
        <f>H20*I20</f>
        <v>22200</v>
      </c>
      <c r="K20" s="72">
        <f>J20*'Global Inputs'!$C$5</f>
        <v>238958.58</v>
      </c>
      <c r="L20" s="73">
        <f>K20/1000</f>
        <v>238.95857999999998</v>
      </c>
      <c r="M20" s="44"/>
      <c r="N20" s="73">
        <v>234</v>
      </c>
      <c r="O20" s="73" t="s">
        <v>69</v>
      </c>
      <c r="P20" s="69">
        <f>(N20*D20)/10^6</f>
        <v>100.25496</v>
      </c>
      <c r="Q20" s="69">
        <f>Q18*(P20/P18)</f>
        <v>100</v>
      </c>
      <c r="R20" s="70">
        <f>Q20/SUM($Q$4,$Q$11,$Q$18,$Q$24,$Q$28)</f>
        <v>1.0416666666666666E-2</v>
      </c>
      <c r="S20" s="76" cm="1">
        <f t="array" ref="S20">(E20/SUMPRODUCT($E$19:$E$22,IF($O$19:$O$22="Gas",1,0)))*$S$18*(O20="Gas")</f>
        <v>0</v>
      </c>
      <c r="T20" s="69">
        <f>S20*3600</f>
        <v>0</v>
      </c>
      <c r="U20" s="70">
        <f t="shared" si="8"/>
        <v>0</v>
      </c>
      <c r="V20" s="118"/>
      <c r="W20" s="77">
        <v>9</v>
      </c>
      <c r="X20" s="78">
        <f>W20*K20/1000</f>
        <v>2150.6272199999999</v>
      </c>
      <c r="Y20" s="78">
        <f>+X20*'Global Inputs'!$C$6</f>
        <v>7344.3919562999999</v>
      </c>
      <c r="Z20" s="78">
        <f>+Y20*'Global Inputs'!$C$7</f>
        <v>612.03266302499992</v>
      </c>
      <c r="AA20" s="121">
        <f>(5000*0.93)*J20/20500*292.81/K20</f>
        <v>6.1704287524763792</v>
      </c>
      <c r="AB20" s="78">
        <f>AA20*K20/1000</f>
        <v>1474.476892682927</v>
      </c>
      <c r="AC20" s="78">
        <f>+AB20*'Global Inputs'!$C$6</f>
        <v>5035.3385885121961</v>
      </c>
      <c r="AD20" s="78">
        <f>+AC20*'Global Inputs'!$C$7</f>
        <v>419.61154904268301</v>
      </c>
      <c r="AE20" s="77">
        <f>1.5*12*266*292.81/K20</f>
        <v>5.8670179576728323</v>
      </c>
      <c r="AF20" s="78">
        <f>AE20*K20/1000</f>
        <v>1401.9742800000001</v>
      </c>
      <c r="AG20" s="78">
        <f>+AF20*'Global Inputs'!$C$6</f>
        <v>4787.7421662000006</v>
      </c>
      <c r="AH20" s="78">
        <f>+AG20*'Global Inputs'!$C$7</f>
        <v>398.97851385000001</v>
      </c>
      <c r="AI20" s="79">
        <v>0</v>
      </c>
      <c r="AJ20" s="79">
        <v>0.5</v>
      </c>
      <c r="AK20" s="79">
        <v>0</v>
      </c>
      <c r="AL20" s="80">
        <f>W20*(1-AI20)</f>
        <v>9</v>
      </c>
      <c r="AM20" s="78">
        <f>AL20*K20/1000</f>
        <v>2150.6272199999999</v>
      </c>
      <c r="AN20" s="78">
        <f>+AM20*'Global Inputs'!$C$6</f>
        <v>7344.3919562999999</v>
      </c>
      <c r="AO20" s="78">
        <f>+AN20*'Global Inputs'!$C$7</f>
        <v>612.03266302499992</v>
      </c>
      <c r="AP20" s="80">
        <f>AA20*(1-AJ20)</f>
        <v>3.0852143762381896</v>
      </c>
      <c r="AQ20" s="78">
        <f>AP20*K20/1000</f>
        <v>737.23844634146349</v>
      </c>
      <c r="AR20" s="78">
        <f>+AQ20*'Global Inputs'!$C$6</f>
        <v>2517.6692942560981</v>
      </c>
      <c r="AS20" s="78">
        <f>+AR20*'Global Inputs'!$C$7</f>
        <v>209.8057745213415</v>
      </c>
      <c r="AT20" s="80">
        <f>AE20*(1-AK20)</f>
        <v>5.8670179576728323</v>
      </c>
      <c r="AU20" s="78">
        <f>AT20*K20/1000</f>
        <v>1401.9742800000001</v>
      </c>
      <c r="AV20" s="78">
        <f>+AU20*'Global Inputs'!$C$6</f>
        <v>4787.7421662000006</v>
      </c>
      <c r="AW20" s="78">
        <f>+AV20*'Global Inputs'!$C$7</f>
        <v>398.97851385000001</v>
      </c>
      <c r="AX20" s="102">
        <v>12000</v>
      </c>
      <c r="AY20" s="102">
        <v>0</v>
      </c>
      <c r="AZ20" s="44"/>
    </row>
    <row r="21" spans="1:52" x14ac:dyDescent="0.3">
      <c r="A21" s="50" t="s">
        <v>406</v>
      </c>
      <c r="B21" s="44"/>
      <c r="C21" s="69"/>
      <c r="D21" s="69"/>
      <c r="E21" s="69"/>
      <c r="F21" s="69"/>
      <c r="G21" s="44"/>
      <c r="H21" s="73">
        <v>750</v>
      </c>
      <c r="I21" s="73">
        <v>30</v>
      </c>
      <c r="J21" s="72">
        <f>H21*I21</f>
        <v>22500</v>
      </c>
      <c r="K21" s="72">
        <f>J21*'Global Inputs'!$C$5</f>
        <v>242187.75</v>
      </c>
      <c r="L21" s="73">
        <f>K21/790</f>
        <v>306.56677215189876</v>
      </c>
      <c r="M21" s="44"/>
      <c r="N21" s="69"/>
      <c r="O21" s="69"/>
      <c r="P21" s="69"/>
      <c r="Q21" s="69"/>
      <c r="R21" s="70"/>
      <c r="S21" s="70"/>
      <c r="T21" s="69"/>
      <c r="U21" s="70"/>
      <c r="V21" s="118"/>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112"/>
      <c r="AZ21" s="44"/>
    </row>
    <row r="22" spans="1:52" x14ac:dyDescent="0.3">
      <c r="A22" s="50" t="s">
        <v>448</v>
      </c>
      <c r="B22" s="44"/>
      <c r="C22" s="71">
        <v>0.65</v>
      </c>
      <c r="D22" s="69">
        <f>$D$18*C22</f>
        <v>6962150</v>
      </c>
      <c r="E22" s="69">
        <f>D22*10.7639</f>
        <v>74939886.38499999</v>
      </c>
      <c r="F22" s="70">
        <f>D22/$D$33</f>
        <v>0.22265342671655633</v>
      </c>
      <c r="G22" s="44"/>
      <c r="H22" s="73">
        <v>750</v>
      </c>
      <c r="I22" s="73">
        <v>30</v>
      </c>
      <c r="J22" s="72">
        <f>H22*I22</f>
        <v>22500</v>
      </c>
      <c r="K22" s="72">
        <f>J22*'Global Inputs'!$C$5</f>
        <v>242187.75</v>
      </c>
      <c r="L22" s="73">
        <f>K22/790</f>
        <v>306.56677215189876</v>
      </c>
      <c r="M22" s="44"/>
      <c r="N22" s="73">
        <v>234</v>
      </c>
      <c r="O22" s="73" t="s">
        <v>67</v>
      </c>
      <c r="P22" s="69">
        <f>(N22*D22)/10^6</f>
        <v>1629.1431</v>
      </c>
      <c r="Q22" s="69">
        <f>Q18*(P22/P18)</f>
        <v>1625</v>
      </c>
      <c r="R22" s="70">
        <f>Q22/SUM($Q$4,$Q$11,$Q$18,$Q$24,$Q$28)</f>
        <v>0.16927083333333334</v>
      </c>
      <c r="S22" s="76" cm="1">
        <f t="array" ref="S22">(E22/SUMPRODUCT($E$19:$E$22,IF($O$19:$O$22="Gas",1,0)))*$S$18*(O22="Gas")</f>
        <v>880.20833333333326</v>
      </c>
      <c r="T22" s="69">
        <f>S22*3600</f>
        <v>3168749.9999999995</v>
      </c>
      <c r="U22" s="70">
        <f>S22/$S$33</f>
        <v>0.19914215686274508</v>
      </c>
      <c r="V22" s="118"/>
      <c r="W22" s="77">
        <v>9</v>
      </c>
      <c r="X22" s="78">
        <f>W22*K22/1000</f>
        <v>2179.68975</v>
      </c>
      <c r="Y22" s="78">
        <f>+X22*'Global Inputs'!$C$6</f>
        <v>7443.6404962500001</v>
      </c>
      <c r="Z22" s="78">
        <f>+Y22*'Global Inputs'!$C$7</f>
        <v>620.30337468749997</v>
      </c>
      <c r="AA22" s="121">
        <f>(5000*0.93)*J22/20500*292.81/K22</f>
        <v>6.1704287524763783</v>
      </c>
      <c r="AB22" s="78">
        <f>AA22*K22/1000</f>
        <v>1494.4022560975609</v>
      </c>
      <c r="AC22" s="78">
        <f>+AB22*'Global Inputs'!$C$6</f>
        <v>5103.3837045731707</v>
      </c>
      <c r="AD22" s="78">
        <f>+AC22*'Global Inputs'!$C$7</f>
        <v>425.28197538109754</v>
      </c>
      <c r="AE22" s="77">
        <f>(350*12)*J22/20500*292.81/K22</f>
        <v>5.5732904861076973</v>
      </c>
      <c r="AF22" s="78">
        <f>AE22*K22/1000</f>
        <v>1349.7826829268295</v>
      </c>
      <c r="AG22" s="78">
        <f>+AF22*'Global Inputs'!$C$6</f>
        <v>4609.5078621951225</v>
      </c>
      <c r="AH22" s="78">
        <f>+AG22*'Global Inputs'!$C$7</f>
        <v>384.12565518292683</v>
      </c>
      <c r="AI22" s="79">
        <v>0</v>
      </c>
      <c r="AJ22" s="79">
        <v>0.5</v>
      </c>
      <c r="AK22" s="79">
        <v>0</v>
      </c>
      <c r="AL22" s="80">
        <f>W22*(1-AI22)</f>
        <v>9</v>
      </c>
      <c r="AM22" s="78">
        <f>AL22*K22/1000</f>
        <v>2179.68975</v>
      </c>
      <c r="AN22" s="78">
        <f>+AM22*'Global Inputs'!$C$6</f>
        <v>7443.6404962500001</v>
      </c>
      <c r="AO22" s="78">
        <f>+AN22*'Global Inputs'!$C$7</f>
        <v>620.30337468749997</v>
      </c>
      <c r="AP22" s="80">
        <f>AA22*(1-AJ22)</f>
        <v>3.0852143762381892</v>
      </c>
      <c r="AQ22" s="78">
        <f>AP22*K22/1000</f>
        <v>747.20112804878045</v>
      </c>
      <c r="AR22" s="78">
        <f>+AQ22*'Global Inputs'!$C$6</f>
        <v>2551.6918522865853</v>
      </c>
      <c r="AS22" s="78">
        <f>+AR22*'Global Inputs'!$C$7</f>
        <v>212.64098769054877</v>
      </c>
      <c r="AT22" s="80">
        <f>AE22*(1-AK22)</f>
        <v>5.5732904861076973</v>
      </c>
      <c r="AU22" s="78">
        <f>AT22*K22/1000</f>
        <v>1349.7826829268295</v>
      </c>
      <c r="AV22" s="78">
        <f>+AU22*'Global Inputs'!$C$6</f>
        <v>4609.5078621951225</v>
      </c>
      <c r="AW22" s="78">
        <f>+AV22*'Global Inputs'!$C$7</f>
        <v>384.12565518292683</v>
      </c>
      <c r="AX22" s="102">
        <v>12000</v>
      </c>
      <c r="AY22" s="102">
        <v>0</v>
      </c>
      <c r="AZ22" s="44"/>
    </row>
    <row r="23" spans="1:52" x14ac:dyDescent="0.3">
      <c r="A23" s="44"/>
      <c r="B23" s="44"/>
      <c r="C23" s="81"/>
      <c r="D23" s="82"/>
      <c r="E23" s="82"/>
      <c r="F23" s="83"/>
      <c r="G23" s="44"/>
      <c r="H23" s="45"/>
      <c r="I23" s="45"/>
      <c r="J23" s="45"/>
      <c r="K23" s="45"/>
      <c r="L23" s="45"/>
      <c r="M23" s="44"/>
      <c r="N23" s="45"/>
      <c r="O23" s="45"/>
      <c r="P23" s="82"/>
      <c r="Q23" s="82"/>
      <c r="R23" s="83"/>
      <c r="S23" s="82"/>
      <c r="T23" s="82"/>
      <c r="U23" s="83"/>
      <c r="V23" s="118"/>
      <c r="W23" s="84"/>
      <c r="X23" s="44"/>
      <c r="Y23" s="44"/>
      <c r="Z23" s="44"/>
      <c r="AA23" s="122"/>
      <c r="AB23" s="44"/>
      <c r="AC23" s="44"/>
      <c r="AD23" s="44"/>
      <c r="AE23" s="84"/>
      <c r="AF23" s="44"/>
      <c r="AG23" s="44"/>
      <c r="AH23" s="44"/>
      <c r="AI23" s="85"/>
      <c r="AJ23" s="85"/>
      <c r="AK23" s="85"/>
      <c r="AL23" s="44"/>
      <c r="AM23" s="44"/>
      <c r="AN23" s="44"/>
      <c r="AO23" s="44"/>
      <c r="AP23" s="44"/>
      <c r="AQ23" s="44"/>
      <c r="AR23" s="44"/>
      <c r="AS23" s="44"/>
      <c r="AT23" s="44"/>
      <c r="AU23" s="44"/>
      <c r="AV23" s="44"/>
      <c r="AW23" s="44"/>
      <c r="AX23" s="109"/>
      <c r="AY23" s="109"/>
      <c r="AZ23" s="44"/>
    </row>
    <row r="24" spans="1:52" ht="16.5" x14ac:dyDescent="0.3">
      <c r="A24" s="66" t="s">
        <v>72</v>
      </c>
      <c r="B24" s="44"/>
      <c r="C24" s="67">
        <f>SUM(C25:C26)</f>
        <v>1</v>
      </c>
      <c r="D24" s="68">
        <v>2848000</v>
      </c>
      <c r="E24" s="69">
        <f>D24*10.7639</f>
        <v>30655587.199999999</v>
      </c>
      <c r="F24" s="70"/>
      <c r="G24" s="44"/>
      <c r="H24" s="72"/>
      <c r="I24" s="72"/>
      <c r="J24" s="72"/>
      <c r="K24" s="72"/>
      <c r="L24" s="72"/>
      <c r="M24" s="44"/>
      <c r="N24" s="72" t="s">
        <v>56</v>
      </c>
      <c r="O24" s="72"/>
      <c r="P24" s="69">
        <f>SUM(P26:P27)</f>
        <v>712</v>
      </c>
      <c r="Q24" s="68">
        <v>510</v>
      </c>
      <c r="R24" s="70">
        <f>Q24/SUM($Q$4,$Q$11,$Q$18,$Q$24,$Q$28)</f>
        <v>5.3124999999999999E-2</v>
      </c>
      <c r="S24" s="68">
        <v>360</v>
      </c>
      <c r="T24" s="69">
        <f>S24*3600</f>
        <v>1296000</v>
      </c>
      <c r="U24" s="70">
        <f t="shared" ref="U24:U26" si="9">S24/$S$33</f>
        <v>8.1447963800904979E-2</v>
      </c>
      <c r="V24" s="118"/>
      <c r="W24" s="86"/>
      <c r="X24" s="78"/>
      <c r="Y24" s="78"/>
      <c r="Z24" s="78"/>
      <c r="AA24" s="123"/>
      <c r="AB24" s="78"/>
      <c r="AC24" s="78"/>
      <c r="AD24" s="78"/>
      <c r="AE24" s="86"/>
      <c r="AF24" s="78"/>
      <c r="AG24" s="78"/>
      <c r="AH24" s="78"/>
      <c r="AI24" s="87"/>
      <c r="AJ24" s="87"/>
      <c r="AK24" s="87"/>
      <c r="AL24" s="78"/>
      <c r="AM24" s="78"/>
      <c r="AN24" s="78"/>
      <c r="AO24" s="78"/>
      <c r="AP24" s="78"/>
      <c r="AQ24" s="78"/>
      <c r="AR24" s="78"/>
      <c r="AS24" s="78"/>
      <c r="AT24" s="78"/>
      <c r="AU24" s="78"/>
      <c r="AV24" s="78"/>
      <c r="AW24" s="78"/>
      <c r="AX24" s="112"/>
      <c r="AY24" s="112"/>
      <c r="AZ24" s="44"/>
    </row>
    <row r="25" spans="1:52" ht="31.5" x14ac:dyDescent="0.3">
      <c r="A25" s="97" t="s">
        <v>407</v>
      </c>
      <c r="B25" s="44"/>
      <c r="C25" s="69"/>
      <c r="D25" s="69"/>
      <c r="E25" s="69"/>
      <c r="F25" s="69"/>
      <c r="G25" s="44"/>
      <c r="H25" s="73">
        <v>90</v>
      </c>
      <c r="I25" s="73">
        <v>2.5</v>
      </c>
      <c r="J25" s="72">
        <f>H25*I25</f>
        <v>225</v>
      </c>
      <c r="K25" s="72">
        <f>J25*'Global Inputs'!$C$5</f>
        <v>2421.8775000000001</v>
      </c>
      <c r="L25" s="73">
        <v>1.25</v>
      </c>
      <c r="M25" s="44"/>
      <c r="N25" s="69"/>
      <c r="O25" s="69"/>
      <c r="P25" s="69"/>
      <c r="Q25" s="69"/>
      <c r="R25" s="70"/>
      <c r="S25" s="69"/>
      <c r="T25" s="69"/>
      <c r="U25" s="70"/>
      <c r="V25" s="118"/>
      <c r="W25" s="69"/>
      <c r="X25" s="78"/>
      <c r="Y25" s="78"/>
      <c r="Z25" s="78"/>
      <c r="AA25" s="124"/>
      <c r="AB25" s="78"/>
      <c r="AC25" s="78"/>
      <c r="AD25" s="78"/>
      <c r="AE25" s="69"/>
      <c r="AF25" s="78"/>
      <c r="AG25" s="78"/>
      <c r="AH25" s="78"/>
      <c r="AI25" s="88"/>
      <c r="AJ25" s="88"/>
      <c r="AK25" s="88"/>
      <c r="AL25" s="78"/>
      <c r="AM25" s="78"/>
      <c r="AN25" s="78"/>
      <c r="AO25" s="78"/>
      <c r="AP25" s="78"/>
      <c r="AQ25" s="78"/>
      <c r="AR25" s="78"/>
      <c r="AS25" s="78"/>
      <c r="AT25" s="78"/>
      <c r="AU25" s="78"/>
      <c r="AV25" s="78"/>
      <c r="AW25" s="78"/>
      <c r="AX25" s="112"/>
      <c r="AY25" s="112"/>
      <c r="AZ25" s="44"/>
    </row>
    <row r="26" spans="1:52" ht="31.5" x14ac:dyDescent="0.3">
      <c r="A26" s="97" t="s">
        <v>408</v>
      </c>
      <c r="B26" s="44"/>
      <c r="C26" s="71">
        <v>1</v>
      </c>
      <c r="D26" s="69">
        <f>$D$24*C26</f>
        <v>2848000</v>
      </c>
      <c r="E26" s="69">
        <f>D26*10.7639</f>
        <v>30655587.199999999</v>
      </c>
      <c r="F26" s="70">
        <f>D26/$D$33</f>
        <v>9.1080622981227419E-2</v>
      </c>
      <c r="G26" s="44"/>
      <c r="H26" s="73">
        <v>90</v>
      </c>
      <c r="I26" s="73">
        <v>2.5</v>
      </c>
      <c r="J26" s="72">
        <f>H26*I26</f>
        <v>225</v>
      </c>
      <c r="K26" s="72">
        <f>J26*'Global Inputs'!$C$5</f>
        <v>2421.8775000000001</v>
      </c>
      <c r="L26" s="73">
        <v>1.25</v>
      </c>
      <c r="M26" s="44"/>
      <c r="N26" s="73">
        <v>250</v>
      </c>
      <c r="O26" s="73" t="s">
        <v>67</v>
      </c>
      <c r="P26" s="69">
        <f>(N26*D26)/10^6</f>
        <v>712</v>
      </c>
      <c r="Q26" s="69">
        <f>Q24*(P26/P24)</f>
        <v>510</v>
      </c>
      <c r="R26" s="70">
        <f>Q26/SUM($Q$4,$Q$11,$Q$18,$Q$24,$Q$28)</f>
        <v>5.3124999999999999E-2</v>
      </c>
      <c r="S26" s="69" cm="1">
        <f t="array" ref="S26">(E26/SUMPRODUCT($E$25:$E$26,IF($O$25:$O$26="Gas",1,0)))*$S$24*(O26="Gas")</f>
        <v>360</v>
      </c>
      <c r="T26" s="69">
        <f>S26*3600</f>
        <v>1296000</v>
      </c>
      <c r="U26" s="70">
        <f t="shared" si="9"/>
        <v>8.1447963800904979E-2</v>
      </c>
      <c r="V26" s="118"/>
      <c r="W26" s="77">
        <v>10</v>
      </c>
      <c r="X26" s="78">
        <f>W26*K26/1000</f>
        <v>24.218775000000001</v>
      </c>
      <c r="Y26" s="78">
        <f>+X26*'Global Inputs'!$C$6</f>
        <v>82.707116624999998</v>
      </c>
      <c r="Z26" s="78">
        <f>+Y26*'Global Inputs'!$C$7</f>
        <v>6.8922597187499992</v>
      </c>
      <c r="AA26" s="121">
        <f>80*292/K26</f>
        <v>9.6454093982870717</v>
      </c>
      <c r="AB26" s="78">
        <f>AA26*K26/1000</f>
        <v>23.359999999999996</v>
      </c>
      <c r="AC26" s="78">
        <f>+AB26*'Global Inputs'!$C$6</f>
        <v>79.774399999999986</v>
      </c>
      <c r="AD26" s="78">
        <f>+AC26*'Global Inputs'!$C$7</f>
        <v>6.6478666666666655</v>
      </c>
      <c r="AE26" s="77">
        <f>10500/2000</f>
        <v>5.25</v>
      </c>
      <c r="AF26" s="78">
        <f>AE26*K26/1000</f>
        <v>12.714856874999999</v>
      </c>
      <c r="AG26" s="78">
        <f>+AF26*'Global Inputs'!$C$6</f>
        <v>43.421236228124997</v>
      </c>
      <c r="AH26" s="78">
        <f>+AG26*'Global Inputs'!$C$7</f>
        <v>3.6184363523437497</v>
      </c>
      <c r="AI26" s="79">
        <v>0</v>
      </c>
      <c r="AJ26" s="79">
        <v>0.5</v>
      </c>
      <c r="AK26" s="79">
        <v>0</v>
      </c>
      <c r="AL26" s="80">
        <f>W26*(1-AI26)</f>
        <v>10</v>
      </c>
      <c r="AM26" s="78">
        <f>AL26*K26/1000</f>
        <v>24.218775000000001</v>
      </c>
      <c r="AN26" s="78">
        <f>+AM26*'Global Inputs'!$C$6</f>
        <v>82.707116624999998</v>
      </c>
      <c r="AO26" s="78">
        <f>+AN26*'Global Inputs'!$C$7</f>
        <v>6.8922597187499992</v>
      </c>
      <c r="AP26" s="80">
        <f>AA26*(1-AJ26)</f>
        <v>4.8227046991435358</v>
      </c>
      <c r="AQ26" s="78">
        <f>AP26*K26/1000</f>
        <v>11.679999999999998</v>
      </c>
      <c r="AR26" s="78">
        <f>+AQ26*'Global Inputs'!$C$6</f>
        <v>39.887199999999993</v>
      </c>
      <c r="AS26" s="78">
        <f>+AR26*'Global Inputs'!$C$7</f>
        <v>3.3239333333333327</v>
      </c>
      <c r="AT26" s="80">
        <f>AE26*(1-AK26)</f>
        <v>5.25</v>
      </c>
      <c r="AU26" s="78">
        <f>AT26*K26/1000</f>
        <v>12.714856874999999</v>
      </c>
      <c r="AV26" s="78">
        <f>+AU26*'Global Inputs'!$C$6</f>
        <v>43.421236228124997</v>
      </c>
      <c r="AW26" s="78">
        <f>+AV26*'Global Inputs'!$C$7</f>
        <v>3.6184363523437497</v>
      </c>
      <c r="AX26" s="102">
        <v>0</v>
      </c>
      <c r="AY26" s="102">
        <v>0</v>
      </c>
      <c r="AZ26" s="44"/>
    </row>
    <row r="27" spans="1:52" x14ac:dyDescent="0.3">
      <c r="A27" s="44"/>
      <c r="B27" s="44"/>
      <c r="C27" s="81"/>
      <c r="D27" s="82"/>
      <c r="E27" s="82"/>
      <c r="F27" s="83"/>
      <c r="G27" s="44"/>
      <c r="H27" s="45"/>
      <c r="I27" s="45"/>
      <c r="J27" s="45"/>
      <c r="K27" s="45"/>
      <c r="L27" s="45"/>
      <c r="M27" s="44"/>
      <c r="N27" s="45"/>
      <c r="O27" s="45"/>
      <c r="P27" s="82"/>
      <c r="Q27" s="82"/>
      <c r="R27" s="83"/>
      <c r="S27" s="82"/>
      <c r="T27" s="82"/>
      <c r="U27" s="83"/>
      <c r="V27" s="118"/>
      <c r="W27" s="89"/>
      <c r="X27" s="44"/>
      <c r="Y27" s="44"/>
      <c r="Z27" s="44"/>
      <c r="AA27" s="125"/>
      <c r="AB27" s="44"/>
      <c r="AC27" s="44"/>
      <c r="AD27" s="44"/>
      <c r="AE27" s="89"/>
      <c r="AF27" s="44"/>
      <c r="AG27" s="44"/>
      <c r="AH27" s="44"/>
      <c r="AI27" s="85"/>
      <c r="AJ27" s="85"/>
      <c r="AK27" s="85"/>
      <c r="AL27" s="44"/>
      <c r="AM27" s="44"/>
      <c r="AN27" s="44"/>
      <c r="AO27" s="44"/>
      <c r="AP27" s="44"/>
      <c r="AQ27" s="44"/>
      <c r="AR27" s="44"/>
      <c r="AS27" s="44"/>
      <c r="AT27" s="44"/>
      <c r="AU27" s="44"/>
      <c r="AV27" s="44"/>
      <c r="AW27" s="44"/>
      <c r="AX27" s="109"/>
      <c r="AY27" s="109"/>
      <c r="AZ27" s="44"/>
    </row>
    <row r="28" spans="1:52" ht="16.5" x14ac:dyDescent="0.3">
      <c r="A28" s="66" t="s">
        <v>73</v>
      </c>
      <c r="B28" s="44"/>
      <c r="C28" s="67">
        <f>SUM(C29:C31)</f>
        <v>1</v>
      </c>
      <c r="D28" s="68">
        <v>3495000</v>
      </c>
      <c r="E28" s="69">
        <f>D28*10.7639</f>
        <v>37619830.5</v>
      </c>
      <c r="F28" s="70"/>
      <c r="G28" s="44"/>
      <c r="H28" s="72"/>
      <c r="I28" s="72"/>
      <c r="J28" s="72"/>
      <c r="K28" s="72"/>
      <c r="L28" s="72"/>
      <c r="M28" s="44"/>
      <c r="N28" s="72" t="s">
        <v>56</v>
      </c>
      <c r="O28" s="72"/>
      <c r="P28" s="69">
        <f>SUM(P29:P31)</f>
        <v>1544.79</v>
      </c>
      <c r="Q28" s="68">
        <v>1540</v>
      </c>
      <c r="R28" s="70">
        <f>Q28/SUM($Q$4,$Q$11,$Q$18,$Q$24,$Q$28)</f>
        <v>0.16041666666666668</v>
      </c>
      <c r="S28" s="68">
        <v>400</v>
      </c>
      <c r="T28" s="69">
        <f>S28*3600</f>
        <v>1440000</v>
      </c>
      <c r="U28" s="70">
        <f t="shared" ref="U28:U31" si="10">S28/$S$33</f>
        <v>9.0497737556561084E-2</v>
      </c>
      <c r="V28" s="118"/>
      <c r="W28" s="90"/>
      <c r="X28" s="78"/>
      <c r="Y28" s="78"/>
      <c r="Z28" s="78"/>
      <c r="AA28" s="126"/>
      <c r="AB28" s="78"/>
      <c r="AC28" s="78"/>
      <c r="AD28" s="78"/>
      <c r="AE28" s="90"/>
      <c r="AF28" s="78"/>
      <c r="AG28" s="78"/>
      <c r="AH28" s="78"/>
      <c r="AI28" s="87"/>
      <c r="AJ28" s="87"/>
      <c r="AK28" s="87"/>
      <c r="AL28" s="78"/>
      <c r="AM28" s="78"/>
      <c r="AN28" s="78"/>
      <c r="AO28" s="78"/>
      <c r="AP28" s="78"/>
      <c r="AQ28" s="78"/>
      <c r="AR28" s="78"/>
      <c r="AS28" s="78"/>
      <c r="AT28" s="78"/>
      <c r="AU28" s="78"/>
      <c r="AV28" s="78"/>
      <c r="AW28" s="78"/>
      <c r="AX28" s="112"/>
      <c r="AY28" s="112"/>
      <c r="AZ28" s="44"/>
    </row>
    <row r="29" spans="1:52" x14ac:dyDescent="0.3">
      <c r="A29" s="50" t="s">
        <v>409</v>
      </c>
      <c r="B29" s="44"/>
      <c r="C29" s="71">
        <v>0.1</v>
      </c>
      <c r="D29" s="69">
        <f>$D$28*C29</f>
        <v>349500</v>
      </c>
      <c r="E29" s="69">
        <f>D29*10.7639</f>
        <v>3761983.05</v>
      </c>
      <c r="F29" s="70">
        <f>D29/$D$33</f>
        <v>1.1177204259810036E-2</v>
      </c>
      <c r="G29" s="44"/>
      <c r="H29" s="73">
        <v>4650</v>
      </c>
      <c r="I29" s="73">
        <v>24</v>
      </c>
      <c r="J29" s="72">
        <f>H29*I29</f>
        <v>111600</v>
      </c>
      <c r="K29" s="72">
        <f>J29*'Global Inputs'!$C$5</f>
        <v>1201251.24</v>
      </c>
      <c r="L29" s="73"/>
      <c r="M29" s="44"/>
      <c r="N29" s="73">
        <v>782</v>
      </c>
      <c r="O29" s="73" t="s">
        <v>67</v>
      </c>
      <c r="P29" s="69">
        <f>(N29*D29)/10^6</f>
        <v>273.30900000000003</v>
      </c>
      <c r="Q29" s="69">
        <f>Q28*(P29/P28)</f>
        <v>272.46153846153845</v>
      </c>
      <c r="R29" s="70">
        <f>Q29/SUM($Q$4,$Q$11,$Q$18,$Q$24,$Q$28)</f>
        <v>2.8381410256410257E-2</v>
      </c>
      <c r="S29" s="69" cm="1">
        <f t="array" ref="S29">(E29/SUMPRODUCT($E$29:$E$31,IF($O$29:$O$31="Gas",1,0)))*$S$28*(O29="Gas")</f>
        <v>40</v>
      </c>
      <c r="T29" s="69">
        <f>S29*3600</f>
        <v>144000</v>
      </c>
      <c r="U29" s="70">
        <f t="shared" si="10"/>
        <v>9.0497737556561094E-3</v>
      </c>
      <c r="V29" s="118"/>
      <c r="W29" s="77">
        <f>(19620)/K29*1000</f>
        <v>16.332969612584957</v>
      </c>
      <c r="X29" s="78">
        <f>W29*K29/1000</f>
        <v>19620</v>
      </c>
      <c r="Y29" s="78">
        <f>+X29*'Global Inputs'!$C$6</f>
        <v>67002.3</v>
      </c>
      <c r="Z29" s="78">
        <f>+Y29*'Global Inputs'!$C$7</f>
        <v>5583.5249999999996</v>
      </c>
      <c r="AA29" s="121">
        <v>6.2</v>
      </c>
      <c r="AB29" s="78">
        <f>AA29*K29/1000</f>
        <v>7447.7576879999997</v>
      </c>
      <c r="AC29" s="78">
        <f>+AB29*'Global Inputs'!$C$6</f>
        <v>25434.092504519998</v>
      </c>
      <c r="AD29" s="78">
        <f>+AC29*'Global Inputs'!$C$7</f>
        <v>2119.5077087099999</v>
      </c>
      <c r="AE29" s="77">
        <v>0</v>
      </c>
      <c r="AF29" s="78">
        <f>AE29*K29/1000</f>
        <v>0</v>
      </c>
      <c r="AG29" s="78">
        <f>+AF29*'Global Inputs'!$C$6</f>
        <v>0</v>
      </c>
      <c r="AH29" s="78">
        <f>+AG29*'Global Inputs'!$C$7</f>
        <v>0</v>
      </c>
      <c r="AI29" s="79">
        <v>0</v>
      </c>
      <c r="AJ29" s="79">
        <v>0.5</v>
      </c>
      <c r="AK29" s="79">
        <v>0</v>
      </c>
      <c r="AL29" s="80">
        <f>W29*(1-AI29)</f>
        <v>16.332969612584957</v>
      </c>
      <c r="AM29" s="78">
        <f>AL29*K29/1000</f>
        <v>19620</v>
      </c>
      <c r="AN29" s="78">
        <f>+AM29*'Global Inputs'!$C$6</f>
        <v>67002.3</v>
      </c>
      <c r="AO29" s="78">
        <f>+AN29*'Global Inputs'!$C$7</f>
        <v>5583.5249999999996</v>
      </c>
      <c r="AP29" s="80">
        <f>AA29*(1-AJ29)</f>
        <v>3.1</v>
      </c>
      <c r="AQ29" s="78">
        <f>AP29*K29/1000</f>
        <v>3723.8788439999998</v>
      </c>
      <c r="AR29" s="78">
        <f>+AQ29*'Global Inputs'!$C$6</f>
        <v>12717.046252259999</v>
      </c>
      <c r="AS29" s="78">
        <f>+AR29*'Global Inputs'!$C$7</f>
        <v>1059.7538543549999</v>
      </c>
      <c r="AT29" s="80">
        <f>AE29*(1-AK29)</f>
        <v>0</v>
      </c>
      <c r="AU29" s="78">
        <f>AT29*K29/1000</f>
        <v>0</v>
      </c>
      <c r="AV29" s="78">
        <f>+AU29*'Global Inputs'!$C$6</f>
        <v>0</v>
      </c>
      <c r="AW29" s="78">
        <f>+AV29*'Global Inputs'!$C$7</f>
        <v>0</v>
      </c>
      <c r="AX29" s="102">
        <v>0</v>
      </c>
      <c r="AY29" s="102">
        <v>0</v>
      </c>
      <c r="AZ29" s="44"/>
    </row>
    <row r="30" spans="1:52" x14ac:dyDescent="0.3">
      <c r="A30" s="50" t="s">
        <v>410</v>
      </c>
      <c r="B30" s="44"/>
      <c r="C30" s="71">
        <v>0.1</v>
      </c>
      <c r="D30" s="69">
        <f>$D$28*C30</f>
        <v>349500</v>
      </c>
      <c r="E30" s="69">
        <f>D30*10.7639</f>
        <v>3761983.05</v>
      </c>
      <c r="F30" s="70">
        <f>D30/$D$33</f>
        <v>1.1177204259810036E-2</v>
      </c>
      <c r="G30" s="44"/>
      <c r="H30" s="73">
        <v>3355</v>
      </c>
      <c r="I30" s="73">
        <v>9</v>
      </c>
      <c r="J30" s="72">
        <f>H30*I30</f>
        <v>30195</v>
      </c>
      <c r="K30" s="72">
        <f>J30*'Global Inputs'!$C$5</f>
        <v>325015.96049999999</v>
      </c>
      <c r="L30" s="73"/>
      <c r="M30" s="44"/>
      <c r="N30" s="73">
        <v>254</v>
      </c>
      <c r="O30" s="73" t="s">
        <v>67</v>
      </c>
      <c r="P30" s="69">
        <f>(N30*D30)/10^6</f>
        <v>88.772999999999996</v>
      </c>
      <c r="Q30" s="69">
        <f>Q28*(P30/P28)</f>
        <v>88.497737556561077</v>
      </c>
      <c r="R30" s="70">
        <f>Q30/SUM($Q$4,$Q$11,$Q$18,$Q$24,$Q$28)</f>
        <v>9.2185143288084463E-3</v>
      </c>
      <c r="S30" s="69" cm="1">
        <f t="array" ref="S30">(E30/SUMPRODUCT($E$29:$E$31,IF($O$29:$O$31="Gas",1,0)))*$S$28*(O30="Gas")</f>
        <v>40</v>
      </c>
      <c r="T30" s="69">
        <f>S30*3600</f>
        <v>144000</v>
      </c>
      <c r="U30" s="70">
        <f t="shared" si="10"/>
        <v>9.0497737556561094E-3</v>
      </c>
      <c r="V30" s="118"/>
      <c r="W30" s="77">
        <f>19200/K30*1000</f>
        <v>59.074021997144357</v>
      </c>
      <c r="X30" s="78">
        <f>W30*K30/1000</f>
        <v>19200</v>
      </c>
      <c r="Y30" s="78">
        <f>+X30*'Global Inputs'!$C$6</f>
        <v>65568</v>
      </c>
      <c r="Z30" s="78">
        <f>+Y30*'Global Inputs'!$C$7</f>
        <v>5464</v>
      </c>
      <c r="AA30" s="121">
        <v>6.2</v>
      </c>
      <c r="AB30" s="78">
        <f>AA30*K30/1000</f>
        <v>2015.0989551</v>
      </c>
      <c r="AC30" s="78">
        <f>+AB30*'Global Inputs'!$C$6</f>
        <v>6881.5629316664999</v>
      </c>
      <c r="AD30" s="78">
        <f>+AC30*'Global Inputs'!$C$7</f>
        <v>573.46357763887499</v>
      </c>
      <c r="AE30" s="77">
        <v>0</v>
      </c>
      <c r="AF30" s="78">
        <f>AE30*K30/1000</f>
        <v>0</v>
      </c>
      <c r="AG30" s="78">
        <f>+AF30*'Global Inputs'!$C$6</f>
        <v>0</v>
      </c>
      <c r="AH30" s="78">
        <f>+AG30*'Global Inputs'!$C$7</f>
        <v>0</v>
      </c>
      <c r="AI30" s="79">
        <v>0</v>
      </c>
      <c r="AJ30" s="79">
        <v>0.5</v>
      </c>
      <c r="AK30" s="79">
        <v>0</v>
      </c>
      <c r="AL30" s="80">
        <f>W30*(1-AI30)</f>
        <v>59.074021997144357</v>
      </c>
      <c r="AM30" s="78">
        <f>AL30*K30/1000</f>
        <v>19200</v>
      </c>
      <c r="AN30" s="78">
        <f>+AM30*'Global Inputs'!$C$6</f>
        <v>65568</v>
      </c>
      <c r="AO30" s="78">
        <f>+AN30*'Global Inputs'!$C$7</f>
        <v>5464</v>
      </c>
      <c r="AP30" s="80">
        <f>AA30*(1-AJ30)</f>
        <v>3.1</v>
      </c>
      <c r="AQ30" s="78">
        <f>AP30*K30/1000</f>
        <v>1007.54947755</v>
      </c>
      <c r="AR30" s="78">
        <f>+AQ30*'Global Inputs'!$C$6</f>
        <v>3440.78146583325</v>
      </c>
      <c r="AS30" s="78">
        <f>+AR30*'Global Inputs'!$C$7</f>
        <v>286.7317888194375</v>
      </c>
      <c r="AT30" s="80">
        <f>AE30*(1-AK30)</f>
        <v>0</v>
      </c>
      <c r="AU30" s="78">
        <f>AT30*K30/1000</f>
        <v>0</v>
      </c>
      <c r="AV30" s="78">
        <f>+AU30*'Global Inputs'!$C$6</f>
        <v>0</v>
      </c>
      <c r="AW30" s="78">
        <f>+AV30*'Global Inputs'!$C$7</f>
        <v>0</v>
      </c>
      <c r="AX30" s="102">
        <v>0</v>
      </c>
      <c r="AY30" s="102">
        <v>0</v>
      </c>
      <c r="AZ30" s="44"/>
    </row>
    <row r="31" spans="1:52" x14ac:dyDescent="0.3">
      <c r="A31" s="50" t="s">
        <v>411</v>
      </c>
      <c r="B31" s="44"/>
      <c r="C31" s="71">
        <v>0.8</v>
      </c>
      <c r="D31" s="69">
        <f>$D$28*C31</f>
        <v>2796000</v>
      </c>
      <c r="E31" s="69">
        <f>D31*10.7639</f>
        <v>30095864.399999999</v>
      </c>
      <c r="F31" s="70">
        <f>D31/$D$33</f>
        <v>8.9417634078480288E-2</v>
      </c>
      <c r="G31" s="44"/>
      <c r="H31" s="73">
        <v>2500</v>
      </c>
      <c r="I31" s="73">
        <v>3</v>
      </c>
      <c r="J31" s="72">
        <f>H31*I31</f>
        <v>7500</v>
      </c>
      <c r="K31" s="72">
        <f>J31*'Global Inputs'!$C$5</f>
        <v>80729.25</v>
      </c>
      <c r="L31" s="73"/>
      <c r="M31" s="44"/>
      <c r="N31" s="73">
        <v>423</v>
      </c>
      <c r="O31" s="73" t="s">
        <v>67</v>
      </c>
      <c r="P31" s="69">
        <f>(N31*D31)/10^6</f>
        <v>1182.7080000000001</v>
      </c>
      <c r="Q31" s="69">
        <f>Q29*(P31/P29)</f>
        <v>1179.0407239819006</v>
      </c>
      <c r="R31" s="70">
        <f>Q31/SUM($Q$4,$Q$11,$Q$18,$Q$24,$Q$28)</f>
        <v>0.12281674208144798</v>
      </c>
      <c r="S31" s="69" cm="1">
        <f t="array" ref="S31">(E31/SUMPRODUCT($E$29:$E$31,IF($O$29:$O$31="Gas",1,0)))*$S$28*(O31="Gas")</f>
        <v>320</v>
      </c>
      <c r="T31" s="69">
        <f>S31*3600</f>
        <v>1152000</v>
      </c>
      <c r="U31" s="70">
        <f t="shared" si="10"/>
        <v>7.2398190045248875E-2</v>
      </c>
      <c r="V31" s="118"/>
      <c r="W31" s="77">
        <v>0</v>
      </c>
      <c r="X31" s="78">
        <f>W31*K31/1000</f>
        <v>0</v>
      </c>
      <c r="Y31" s="78">
        <f>+X31*'Global Inputs'!$C$6</f>
        <v>0</v>
      </c>
      <c r="Z31" s="78">
        <f>+Y31*'Global Inputs'!$C$7</f>
        <v>0</v>
      </c>
      <c r="AA31" s="121">
        <v>0</v>
      </c>
      <c r="AB31" s="78">
        <f>AA31*K31/1000</f>
        <v>0</v>
      </c>
      <c r="AC31" s="78">
        <f>+AB31*'Global Inputs'!$C$6</f>
        <v>0</v>
      </c>
      <c r="AD31" s="78">
        <f>+AC31*'Global Inputs'!$C$7</f>
        <v>0</v>
      </c>
      <c r="AE31" s="77">
        <v>0</v>
      </c>
      <c r="AF31" s="78">
        <f>AE31*K31/1000</f>
        <v>0</v>
      </c>
      <c r="AG31" s="78">
        <f>+AF31*'Global Inputs'!$C$6</f>
        <v>0</v>
      </c>
      <c r="AH31" s="78">
        <f>+AG31*'Global Inputs'!$C$7</f>
        <v>0</v>
      </c>
      <c r="AI31" s="79">
        <v>0</v>
      </c>
      <c r="AJ31" s="79">
        <v>0.5</v>
      </c>
      <c r="AK31" s="79">
        <v>0</v>
      </c>
      <c r="AL31" s="80">
        <f>W31*(1-AI31)</f>
        <v>0</v>
      </c>
      <c r="AM31" s="78">
        <f>AL31*K31/1000</f>
        <v>0</v>
      </c>
      <c r="AN31" s="78">
        <f>+AM31*'Global Inputs'!$C$6</f>
        <v>0</v>
      </c>
      <c r="AO31" s="78">
        <f>+AN31*'Global Inputs'!$C$7</f>
        <v>0</v>
      </c>
      <c r="AP31" s="80">
        <f>AA31*(1-AJ31)</f>
        <v>0</v>
      </c>
      <c r="AQ31" s="78">
        <f>AP31*K31/1000</f>
        <v>0</v>
      </c>
      <c r="AR31" s="78">
        <f>+AQ31*'Global Inputs'!$C$6</f>
        <v>0</v>
      </c>
      <c r="AS31" s="78">
        <f>+AR31*'Global Inputs'!$C$7</f>
        <v>0</v>
      </c>
      <c r="AT31" s="80">
        <f>AE31*(1-AK31)</f>
        <v>0</v>
      </c>
      <c r="AU31" s="78">
        <f>AT31*K31/1000</f>
        <v>0</v>
      </c>
      <c r="AV31" s="78">
        <f>+AU31*'Global Inputs'!$C$6</f>
        <v>0</v>
      </c>
      <c r="AW31" s="78">
        <f>+AV31*'Global Inputs'!$C$7</f>
        <v>0</v>
      </c>
      <c r="AX31" s="102">
        <v>0</v>
      </c>
      <c r="AY31" s="102">
        <v>0</v>
      </c>
      <c r="AZ31" s="44"/>
    </row>
    <row r="32" spans="1:52" x14ac:dyDescent="0.3">
      <c r="A32" s="44"/>
      <c r="B32" s="44"/>
      <c r="C32" s="81"/>
      <c r="D32" s="91"/>
      <c r="E32" s="91"/>
      <c r="F32" s="44"/>
      <c r="G32" s="44"/>
      <c r="H32" s="44"/>
      <c r="I32" s="44"/>
      <c r="J32" s="44"/>
      <c r="K32" s="44"/>
      <c r="L32" s="44"/>
      <c r="M32" s="44"/>
      <c r="N32" s="44"/>
      <c r="O32" s="44"/>
      <c r="P32" s="91"/>
      <c r="Q32" s="91"/>
      <c r="R32" s="44"/>
      <c r="S32" s="91"/>
      <c r="T32" s="91"/>
      <c r="U32" s="44"/>
      <c r="V32" s="119"/>
      <c r="W32" s="92"/>
      <c r="X32" s="93"/>
      <c r="Y32" s="94"/>
      <c r="Z32" s="94"/>
      <c r="AA32" s="127"/>
      <c r="AB32" s="94"/>
      <c r="AC32" s="94"/>
      <c r="AD32" s="94"/>
      <c r="AE32" s="92"/>
      <c r="AF32" s="94"/>
      <c r="AG32" s="94"/>
      <c r="AH32" s="94"/>
      <c r="AI32" s="85"/>
      <c r="AJ32" s="85"/>
      <c r="AK32" s="85"/>
      <c r="AL32" s="92"/>
      <c r="AM32" s="93"/>
      <c r="AN32" s="94"/>
      <c r="AO32" s="94"/>
      <c r="AP32" s="92"/>
      <c r="AQ32" s="93"/>
      <c r="AR32" s="94"/>
      <c r="AS32" s="94"/>
      <c r="AT32" s="92"/>
      <c r="AU32" s="93"/>
      <c r="AV32" s="94"/>
      <c r="AW32" s="94"/>
      <c r="AX32" s="109"/>
      <c r="AY32" s="109"/>
      <c r="AZ32" s="44"/>
    </row>
    <row r="33" spans="1:52" ht="16.5" x14ac:dyDescent="0.3">
      <c r="A33" s="98" t="s">
        <v>74</v>
      </c>
      <c r="B33" s="46"/>
      <c r="C33" s="46"/>
      <c r="D33" s="95">
        <f>+SUM(D4,D11,D18,D24,D28)</f>
        <v>31269000</v>
      </c>
      <c r="E33" s="95">
        <f>+SUM(E4,E11,E18,E24,E28)</f>
        <v>336576389.09999996</v>
      </c>
      <c r="F33" s="96">
        <f>+SUM(F4:F31)</f>
        <v>0.99999999999999989</v>
      </c>
      <c r="G33" s="44"/>
      <c r="H33" s="46"/>
      <c r="I33" s="46"/>
      <c r="J33" s="46"/>
      <c r="K33" s="46"/>
      <c r="L33" s="46"/>
      <c r="M33" s="44"/>
      <c r="N33" s="46"/>
      <c r="O33" s="46"/>
      <c r="P33" s="95">
        <f>+SUM(P4,P11,P18,P24,P28)</f>
        <v>9858.8154399999985</v>
      </c>
      <c r="Q33" s="95">
        <f>+SUM(Q4,Q11,Q18,Q24,Q28)</f>
        <v>9600</v>
      </c>
      <c r="R33" s="96">
        <f>+SUM(R4,R11,R18,R24,R28)</f>
        <v>0.99999999999999989</v>
      </c>
      <c r="S33" s="95">
        <f>+SUM(S4,S11,S18,S24,S28)</f>
        <v>4420</v>
      </c>
      <c r="T33" s="95">
        <f>+SUM(T4,T11,T18,T24,T28)</f>
        <v>15912000</v>
      </c>
      <c r="U33" s="70">
        <f>S33/$S$33</f>
        <v>1</v>
      </c>
      <c r="V33" s="119"/>
      <c r="W33" s="46"/>
      <c r="X33" s="46"/>
      <c r="Y33" s="46"/>
      <c r="Z33" s="46"/>
      <c r="AA33" s="128"/>
      <c r="AB33" s="46"/>
      <c r="AC33" s="46"/>
      <c r="AD33" s="46"/>
      <c r="AE33" s="46"/>
      <c r="AF33" s="46"/>
      <c r="AG33" s="46"/>
      <c r="AH33" s="46"/>
      <c r="AI33" s="96"/>
      <c r="AJ33" s="96"/>
      <c r="AK33" s="96"/>
      <c r="AL33" s="46"/>
      <c r="AM33" s="46"/>
      <c r="AN33" s="46"/>
      <c r="AO33" s="46"/>
      <c r="AP33" s="46"/>
      <c r="AQ33" s="46"/>
      <c r="AR33" s="46"/>
      <c r="AS33" s="46"/>
      <c r="AT33" s="46"/>
      <c r="AU33" s="46"/>
      <c r="AV33" s="46"/>
      <c r="AW33" s="46"/>
      <c r="AX33" s="46"/>
      <c r="AY33" s="46"/>
      <c r="AZ33" s="44"/>
    </row>
    <row r="34" spans="1:52" x14ac:dyDescent="0.3">
      <c r="A34" s="44"/>
      <c r="B34" s="44"/>
      <c r="C34" s="81"/>
      <c r="D34" s="91"/>
      <c r="E34" s="91"/>
      <c r="F34" s="44"/>
      <c r="G34" s="44"/>
      <c r="H34" s="44"/>
      <c r="I34" s="44"/>
      <c r="J34" s="44"/>
      <c r="K34" s="44"/>
      <c r="L34" s="44"/>
      <c r="M34" s="44"/>
      <c r="N34" s="44"/>
      <c r="O34" s="44"/>
      <c r="P34" s="91"/>
      <c r="Q34" s="91"/>
      <c r="R34" s="44"/>
      <c r="S34" s="91"/>
      <c r="T34" s="91"/>
      <c r="U34" s="44"/>
      <c r="V34" s="119"/>
      <c r="W34" s="92"/>
      <c r="X34" s="93"/>
      <c r="Y34" s="94"/>
      <c r="Z34" s="94"/>
      <c r="AA34" s="127"/>
      <c r="AB34" s="94"/>
      <c r="AC34" s="94"/>
      <c r="AD34" s="94"/>
      <c r="AE34" s="92"/>
      <c r="AF34" s="94"/>
      <c r="AG34" s="94"/>
      <c r="AH34" s="94"/>
      <c r="AI34" s="85"/>
      <c r="AJ34" s="85"/>
      <c r="AK34" s="85"/>
      <c r="AL34" s="92"/>
      <c r="AM34" s="93"/>
      <c r="AN34" s="94"/>
      <c r="AO34" s="94"/>
      <c r="AP34" s="92"/>
      <c r="AQ34" s="93"/>
      <c r="AR34" s="94"/>
      <c r="AS34" s="94"/>
      <c r="AT34" s="92"/>
      <c r="AU34" s="93"/>
      <c r="AV34" s="94"/>
      <c r="AW34" s="94"/>
      <c r="AX34" s="109"/>
      <c r="AY34" s="109"/>
      <c r="AZ34" s="44"/>
    </row>
  </sheetData>
  <mergeCells count="7">
    <mergeCell ref="A1:A2"/>
    <mergeCell ref="AL2:AO2"/>
    <mergeCell ref="AP2:AS2"/>
    <mergeCell ref="AT2:AW2"/>
    <mergeCell ref="W2:Z2"/>
    <mergeCell ref="AA2:AD2"/>
    <mergeCell ref="AE2:AH2"/>
  </mergeCells>
  <phoneticPr fontId="9" type="noConversion"/>
  <conditionalFormatting sqref="C4 C11 C18 C24 C28">
    <cfRule type="expression" dxfId="32" priority="16">
      <formula>$C4&gt;1</formula>
    </cfRule>
    <cfRule type="expression" dxfId="31" priority="17">
      <formula>$C4&lt;1</formula>
    </cfRule>
    <cfRule type="expression" dxfId="30" priority="18">
      <formula>$C4=1</formula>
    </cfRule>
  </conditionalFormatting>
  <dataValidations disablePrompts="1" count="1">
    <dataValidation type="decimal" allowBlank="1" showInputMessage="1" showErrorMessage="1" sqref="C5" xr:uid="{08C2661C-92B5-44C6-AC5E-08AD151E74D7}">
      <formula1>0</formula1>
      <formula2>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8A8B81F-7683-4AC6-BA07-B468160941D7}">
          <x14:formula1>
            <xm:f>'Global Inputs'!$C$12:$C$20</xm:f>
          </x14:formula1>
          <xm:sqref>O4:O33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C794-8E5C-4918-9299-AFC56EFC6CF0}">
  <sheetPr>
    <tabColor theme="8" tint="0.59999389629810485"/>
  </sheetPr>
  <dimension ref="A1:AM31"/>
  <sheetViews>
    <sheetView showGridLines="0" zoomScaleNormal="100" workbookViewId="0">
      <pane xSplit="2" ySplit="2" topLeftCell="C13" activePane="bottomRight" state="frozen"/>
      <selection pane="topRight" activeCell="C1" sqref="C1"/>
      <selection pane="bottomLeft" activeCell="A3" sqref="A3"/>
      <selection pane="bottomRight" activeCell="AA16" sqref="AA16"/>
    </sheetView>
    <sheetView zoomScale="70" zoomScaleNormal="70" workbookViewId="1">
      <selection sqref="A1:A2"/>
    </sheetView>
  </sheetViews>
  <sheetFormatPr defaultColWidth="8.77734375" defaultRowHeight="15.75" outlineLevelCol="1" x14ac:dyDescent="0.3"/>
  <cols>
    <col min="1" max="1" width="35.6640625" style="6" customWidth="1"/>
    <col min="2" max="2" width="3.77734375" style="10" customWidth="1"/>
    <col min="3" max="3" width="30.6640625" style="10" customWidth="1" outlineLevel="1"/>
    <col min="4" max="4" width="15.33203125" style="10" bestFit="1" customWidth="1" outlineLevel="1"/>
    <col min="5" max="5" width="14.5546875" style="10" bestFit="1" customWidth="1" outlineLevel="1"/>
    <col min="6" max="6" width="15.6640625" style="10" customWidth="1" outlineLevel="1"/>
    <col min="7" max="7" width="2" style="10" customWidth="1"/>
    <col min="8" max="9" width="30.5546875" style="10" customWidth="1" outlineLevel="1"/>
    <col min="10" max="10" width="2" style="10" customWidth="1"/>
    <col min="11" max="11" width="45.77734375" style="10" customWidth="1" outlineLevel="1"/>
    <col min="12" max="12" width="30.5546875" style="10" customWidth="1" outlineLevel="1"/>
    <col min="13" max="13" width="2" style="10" customWidth="1"/>
    <col min="14" max="14" width="45.77734375" style="10" customWidth="1" outlineLevel="1"/>
    <col min="15" max="15" width="30.5546875" style="10" customWidth="1" outlineLevel="1"/>
    <col min="16" max="16" width="2" style="10" customWidth="1"/>
    <col min="17" max="17" width="45.77734375" style="10" customWidth="1" outlineLevel="1"/>
    <col min="18" max="18" width="30.5546875" style="10" customWidth="1" outlineLevel="1"/>
    <col min="19" max="19" width="2" style="10" customWidth="1"/>
    <col min="20" max="21" width="30.5546875" style="10" customWidth="1" outlineLevel="1"/>
    <col min="22" max="22" width="2" style="10" customWidth="1"/>
    <col min="23" max="24" width="30.5546875" style="10" customWidth="1" outlineLevel="1"/>
    <col min="25" max="25" width="2" style="10" customWidth="1"/>
    <col min="26" max="28" width="30.77734375" style="10" customWidth="1" outlineLevel="1"/>
    <col min="29" max="29" width="2" style="10" customWidth="1"/>
    <col min="30" max="32" width="30.77734375" style="10" customWidth="1" outlineLevel="1"/>
    <col min="33" max="33" width="2" style="10" customWidth="1"/>
    <col min="34" max="37" width="30.77734375" style="10" customWidth="1" outlineLevel="1"/>
    <col min="38" max="38" width="45.77734375" style="10" customWidth="1" outlineLevel="1"/>
    <col min="39" max="39" width="2" style="10" customWidth="1"/>
    <col min="40" max="16384" width="8.77734375" style="10"/>
  </cols>
  <sheetData>
    <row r="1" spans="1:39" ht="57" customHeight="1" x14ac:dyDescent="0.3">
      <c r="A1" s="320" t="s">
        <v>39</v>
      </c>
      <c r="B1" s="56"/>
      <c r="C1" s="61" t="s">
        <v>40</v>
      </c>
      <c r="D1" s="99"/>
      <c r="E1" s="99"/>
      <c r="F1" s="99"/>
      <c r="G1" s="57"/>
      <c r="H1" s="61" t="s">
        <v>311</v>
      </c>
      <c r="I1" s="61"/>
      <c r="J1" s="57"/>
      <c r="K1" s="61" t="s">
        <v>77</v>
      </c>
      <c r="L1" s="61"/>
      <c r="M1" s="57"/>
      <c r="N1" s="61" t="s">
        <v>78</v>
      </c>
      <c r="O1" s="61"/>
      <c r="P1" s="57"/>
      <c r="Q1" s="61" t="s">
        <v>79</v>
      </c>
      <c r="R1" s="61"/>
      <c r="S1" s="57"/>
      <c r="T1" s="61" t="s">
        <v>76</v>
      </c>
      <c r="U1" s="61"/>
      <c r="V1" s="57"/>
      <c r="W1" s="61" t="s">
        <v>75</v>
      </c>
      <c r="X1" s="61"/>
      <c r="Y1" s="57"/>
      <c r="Z1" s="60" t="s">
        <v>349</v>
      </c>
      <c r="AA1" s="62"/>
      <c r="AB1" s="62"/>
      <c r="AC1" s="57"/>
      <c r="AD1" s="60" t="s">
        <v>350</v>
      </c>
      <c r="AE1" s="62"/>
      <c r="AF1" s="63"/>
      <c r="AG1" s="57"/>
      <c r="AH1" s="58" t="s">
        <v>351</v>
      </c>
      <c r="AI1" s="59"/>
      <c r="AJ1" s="59"/>
      <c r="AK1" s="59"/>
      <c r="AL1" s="59"/>
      <c r="AM1" s="57"/>
    </row>
    <row r="2" spans="1:39" s="8" customFormat="1" ht="63" x14ac:dyDescent="0.3">
      <c r="A2" s="320"/>
      <c r="B2" s="43"/>
      <c r="C2" s="214" t="s">
        <v>80</v>
      </c>
      <c r="D2" s="214" t="s">
        <v>81</v>
      </c>
      <c r="E2" s="214" t="s">
        <v>82</v>
      </c>
      <c r="F2" s="214" t="s">
        <v>83</v>
      </c>
      <c r="G2" s="43"/>
      <c r="H2" s="214" t="s">
        <v>84</v>
      </c>
      <c r="I2" s="214" t="s">
        <v>85</v>
      </c>
      <c r="J2" s="43"/>
      <c r="K2" s="214" t="s">
        <v>86</v>
      </c>
      <c r="L2" s="214" t="s">
        <v>85</v>
      </c>
      <c r="M2" s="214"/>
      <c r="N2" s="214" t="s">
        <v>86</v>
      </c>
      <c r="O2" s="214" t="s">
        <v>85</v>
      </c>
      <c r="P2" s="214"/>
      <c r="Q2" s="214" t="s">
        <v>86</v>
      </c>
      <c r="R2" s="214" t="s">
        <v>85</v>
      </c>
      <c r="S2" s="214"/>
      <c r="T2" s="214" t="s">
        <v>86</v>
      </c>
      <c r="U2" s="214" t="s">
        <v>85</v>
      </c>
      <c r="V2" s="214"/>
      <c r="W2" s="214" t="s">
        <v>86</v>
      </c>
      <c r="X2" s="214" t="s">
        <v>85</v>
      </c>
      <c r="Y2" s="214"/>
      <c r="Z2" s="214" t="s">
        <v>192</v>
      </c>
      <c r="AA2" s="214" t="s">
        <v>193</v>
      </c>
      <c r="AB2" s="214" t="s">
        <v>194</v>
      </c>
      <c r="AC2" s="214"/>
      <c r="AD2" s="214" t="s">
        <v>195</v>
      </c>
      <c r="AE2" s="214" t="s">
        <v>196</v>
      </c>
      <c r="AF2" s="214" t="s">
        <v>197</v>
      </c>
      <c r="AG2" s="214"/>
      <c r="AH2" s="214" t="s">
        <v>195</v>
      </c>
      <c r="AI2" s="214" t="s">
        <v>196</v>
      </c>
      <c r="AJ2" s="214" t="s">
        <v>197</v>
      </c>
      <c r="AK2" s="214" t="s">
        <v>198</v>
      </c>
      <c r="AL2" s="214" t="s">
        <v>199</v>
      </c>
      <c r="AM2" s="43"/>
    </row>
    <row r="3" spans="1:39" ht="19.5" x14ac:dyDescent="0.3">
      <c r="A3" s="64" t="str">
        <f>IF('Building Typology'!A4=0," ",'Building Typology'!A4)</f>
        <v>OFFICE</v>
      </c>
      <c r="B3" s="44"/>
      <c r="C3" s="40"/>
      <c r="D3" s="40"/>
      <c r="E3" s="40"/>
      <c r="F3" s="40"/>
      <c r="G3" s="45"/>
      <c r="H3" s="40"/>
      <c r="I3" s="40"/>
      <c r="J3" s="45"/>
      <c r="K3" s="40"/>
      <c r="L3" s="40"/>
      <c r="M3" s="45"/>
      <c r="N3" s="40"/>
      <c r="O3" s="40"/>
      <c r="P3" s="45"/>
      <c r="Q3" s="40"/>
      <c r="R3" s="40"/>
      <c r="S3" s="45"/>
      <c r="T3" s="40"/>
      <c r="U3" s="40"/>
      <c r="V3" s="45"/>
      <c r="W3" s="40"/>
      <c r="X3" s="40"/>
      <c r="Y3" s="45"/>
      <c r="Z3" s="46"/>
      <c r="AA3" s="46"/>
      <c r="AB3" s="46"/>
      <c r="AC3" s="45"/>
      <c r="AD3" s="46"/>
      <c r="AE3" s="46"/>
      <c r="AF3" s="46"/>
      <c r="AG3" s="45"/>
      <c r="AH3" s="46"/>
      <c r="AI3" s="46"/>
      <c r="AJ3" s="46"/>
      <c r="AK3" s="46"/>
      <c r="AL3" s="46"/>
      <c r="AM3" s="45"/>
    </row>
    <row r="4" spans="1:39" ht="173.25" x14ac:dyDescent="0.3">
      <c r="A4" s="53" t="str">
        <f>IF('Building Typology'!A5=0," ",'Building Typology'!A5)</f>
        <v>Class 'A' - gas boiler</v>
      </c>
      <c r="B4" s="44"/>
      <c r="C4" s="41" t="s">
        <v>87</v>
      </c>
      <c r="D4" s="42" t="s">
        <v>88</v>
      </c>
      <c r="E4" s="42" t="s">
        <v>89</v>
      </c>
      <c r="F4" s="42" t="s">
        <v>90</v>
      </c>
      <c r="G4" s="47"/>
      <c r="H4" s="42" t="s">
        <v>91</v>
      </c>
      <c r="I4" s="42" t="s">
        <v>92</v>
      </c>
      <c r="J4" s="47"/>
      <c r="K4" s="42" t="s">
        <v>95</v>
      </c>
      <c r="L4" s="42" t="s">
        <v>96</v>
      </c>
      <c r="M4" s="47"/>
      <c r="N4" s="42" t="s">
        <v>97</v>
      </c>
      <c r="O4" s="42" t="s">
        <v>96</v>
      </c>
      <c r="P4" s="47"/>
      <c r="Q4" s="42" t="s">
        <v>98</v>
      </c>
      <c r="R4" s="42" t="s">
        <v>99</v>
      </c>
      <c r="S4" s="47"/>
      <c r="T4" s="42" t="s">
        <v>93</v>
      </c>
      <c r="U4" s="42" t="s">
        <v>94</v>
      </c>
      <c r="V4" s="47"/>
      <c r="W4" s="42" t="s">
        <v>91</v>
      </c>
      <c r="X4" s="42" t="s">
        <v>92</v>
      </c>
      <c r="Y4" s="47"/>
      <c r="Z4" s="49" t="s">
        <v>200</v>
      </c>
      <c r="AA4" s="49" t="s">
        <v>201</v>
      </c>
      <c r="AB4" s="49" t="s">
        <v>202</v>
      </c>
      <c r="AC4" s="47"/>
      <c r="AD4" s="49" t="s">
        <v>200</v>
      </c>
      <c r="AE4" s="49" t="s">
        <v>203</v>
      </c>
      <c r="AF4" s="49" t="s">
        <v>204</v>
      </c>
      <c r="AG4" s="47"/>
      <c r="AH4" s="49" t="s">
        <v>200</v>
      </c>
      <c r="AI4" s="49" t="s">
        <v>205</v>
      </c>
      <c r="AJ4" s="49" t="s">
        <v>206</v>
      </c>
      <c r="AK4" s="49" t="s">
        <v>207</v>
      </c>
      <c r="AL4" s="50" t="s">
        <v>208</v>
      </c>
      <c r="AM4" s="47"/>
    </row>
    <row r="5" spans="1:39" ht="189" x14ac:dyDescent="0.3">
      <c r="A5" s="53" t="str">
        <f>IF('Building Typology'!A6=0," ",'Building Typology'!A6)</f>
        <v>Class 'A' - district heating/ cooling</v>
      </c>
      <c r="B5" s="44"/>
      <c r="C5" s="41" t="s">
        <v>100</v>
      </c>
      <c r="D5" s="42" t="s">
        <v>88</v>
      </c>
      <c r="E5" s="42" t="s">
        <v>89</v>
      </c>
      <c r="F5" s="42" t="s">
        <v>90</v>
      </c>
      <c r="G5" s="47"/>
      <c r="H5" s="42" t="s">
        <v>101</v>
      </c>
      <c r="I5" s="42" t="s">
        <v>92</v>
      </c>
      <c r="J5" s="47"/>
      <c r="K5" s="42" t="s">
        <v>103</v>
      </c>
      <c r="L5" s="42" t="s">
        <v>104</v>
      </c>
      <c r="M5" s="47"/>
      <c r="N5" s="42" t="s">
        <v>105</v>
      </c>
      <c r="O5" s="42" t="s">
        <v>104</v>
      </c>
      <c r="P5" s="47"/>
      <c r="Q5" s="42" t="s">
        <v>106</v>
      </c>
      <c r="R5" s="42" t="s">
        <v>99</v>
      </c>
      <c r="S5" s="47"/>
      <c r="T5" s="42" t="s">
        <v>102</v>
      </c>
      <c r="U5" s="42" t="s">
        <v>94</v>
      </c>
      <c r="V5" s="47"/>
      <c r="W5" s="42" t="s">
        <v>101</v>
      </c>
      <c r="X5" s="42" t="s">
        <v>92</v>
      </c>
      <c r="Y5" s="47"/>
      <c r="Z5" s="49" t="s">
        <v>200</v>
      </c>
      <c r="AA5" s="49" t="s">
        <v>201</v>
      </c>
      <c r="AB5" s="49" t="s">
        <v>202</v>
      </c>
      <c r="AC5" s="47"/>
      <c r="AD5" s="49" t="s">
        <v>200</v>
      </c>
      <c r="AE5" s="49" t="s">
        <v>203</v>
      </c>
      <c r="AF5" s="49" t="s">
        <v>204</v>
      </c>
      <c r="AG5" s="47"/>
      <c r="AH5" s="49" t="s">
        <v>200</v>
      </c>
      <c r="AI5" s="49" t="s">
        <v>205</v>
      </c>
      <c r="AJ5" s="49" t="s">
        <v>206</v>
      </c>
      <c r="AK5" s="49" t="s">
        <v>207</v>
      </c>
      <c r="AL5" s="50" t="s">
        <v>447</v>
      </c>
      <c r="AM5" s="47"/>
    </row>
    <row r="6" spans="1:39" ht="157.5" x14ac:dyDescent="0.3">
      <c r="A6" s="53" t="str">
        <f>IF('Building Typology'!A7=0," ",'Building Typology'!A7)</f>
        <v>Class 'A' - electric</v>
      </c>
      <c r="B6" s="44"/>
      <c r="C6" s="41" t="s">
        <v>107</v>
      </c>
      <c r="D6" s="42" t="s">
        <v>88</v>
      </c>
      <c r="E6" s="42" t="s">
        <v>89</v>
      </c>
      <c r="F6" s="42" t="s">
        <v>238</v>
      </c>
      <c r="G6" s="47"/>
      <c r="H6" s="42" t="s">
        <v>108</v>
      </c>
      <c r="I6" s="42" t="s">
        <v>92</v>
      </c>
      <c r="J6" s="47"/>
      <c r="K6" s="42" t="s">
        <v>111</v>
      </c>
      <c r="L6" s="42" t="s">
        <v>112</v>
      </c>
      <c r="M6" s="47"/>
      <c r="N6" s="42" t="s">
        <v>111</v>
      </c>
      <c r="O6" s="42" t="s">
        <v>112</v>
      </c>
      <c r="P6" s="47"/>
      <c r="Q6" s="42" t="s">
        <v>113</v>
      </c>
      <c r="R6" s="42" t="s">
        <v>99</v>
      </c>
      <c r="S6" s="47"/>
      <c r="T6" s="42" t="s">
        <v>109</v>
      </c>
      <c r="U6" s="42" t="s">
        <v>110</v>
      </c>
      <c r="V6" s="47"/>
      <c r="W6" s="42" t="s">
        <v>108</v>
      </c>
      <c r="X6" s="42" t="s">
        <v>92</v>
      </c>
      <c r="Y6" s="47"/>
      <c r="Z6" s="49" t="s">
        <v>200</v>
      </c>
      <c r="AA6" s="49" t="s">
        <v>201</v>
      </c>
      <c r="AB6" s="49" t="s">
        <v>202</v>
      </c>
      <c r="AC6" s="47"/>
      <c r="AD6" s="49" t="s">
        <v>200</v>
      </c>
      <c r="AE6" s="49" t="s">
        <v>203</v>
      </c>
      <c r="AF6" s="49" t="s">
        <v>204</v>
      </c>
      <c r="AG6" s="47"/>
      <c r="AH6" s="49" t="s">
        <v>200</v>
      </c>
      <c r="AI6" s="49" t="s">
        <v>205</v>
      </c>
      <c r="AJ6" s="49" t="s">
        <v>206</v>
      </c>
      <c r="AK6" s="49" t="s">
        <v>207</v>
      </c>
      <c r="AL6" s="50" t="s">
        <v>209</v>
      </c>
      <c r="AM6" s="47"/>
    </row>
    <row r="7" spans="1:39" ht="173.25" x14ac:dyDescent="0.3">
      <c r="A7" s="53" t="str">
        <f>IF('Building Typology'!A8=0," ",'Building Typology'!A8)</f>
        <v>Class 'B' &amp; 'C' - rooftop units</v>
      </c>
      <c r="B7" s="44"/>
      <c r="C7" s="41" t="s">
        <v>114</v>
      </c>
      <c r="D7" s="42" t="s">
        <v>88</v>
      </c>
      <c r="E7" s="42" t="s">
        <v>89</v>
      </c>
      <c r="F7" s="42" t="s">
        <v>238</v>
      </c>
      <c r="G7" s="47"/>
      <c r="H7" s="42" t="s">
        <v>115</v>
      </c>
      <c r="I7" s="42" t="s">
        <v>92</v>
      </c>
      <c r="J7" s="47"/>
      <c r="K7" s="42" t="s">
        <v>118</v>
      </c>
      <c r="L7" s="42" t="s">
        <v>119</v>
      </c>
      <c r="M7" s="47"/>
      <c r="N7" s="42" t="s">
        <v>120</v>
      </c>
      <c r="O7" s="42" t="s">
        <v>119</v>
      </c>
      <c r="P7" s="47"/>
      <c r="Q7" s="42" t="s">
        <v>121</v>
      </c>
      <c r="R7" s="42" t="s">
        <v>122</v>
      </c>
      <c r="S7" s="47"/>
      <c r="T7" s="42" t="s">
        <v>116</v>
      </c>
      <c r="U7" s="42" t="s">
        <v>117</v>
      </c>
      <c r="V7" s="47"/>
      <c r="W7" s="42" t="s">
        <v>115</v>
      </c>
      <c r="X7" s="42" t="s">
        <v>92</v>
      </c>
      <c r="Y7" s="47"/>
      <c r="Z7" s="49" t="s">
        <v>210</v>
      </c>
      <c r="AA7" s="49" t="s">
        <v>211</v>
      </c>
      <c r="AB7" s="49" t="s">
        <v>212</v>
      </c>
      <c r="AC7" s="47"/>
      <c r="AD7" s="49" t="s">
        <v>213</v>
      </c>
      <c r="AE7" s="49" t="s">
        <v>214</v>
      </c>
      <c r="AF7" s="49" t="s">
        <v>204</v>
      </c>
      <c r="AG7" s="47"/>
      <c r="AH7" s="49" t="s">
        <v>213</v>
      </c>
      <c r="AI7" s="49" t="s">
        <v>214</v>
      </c>
      <c r="AJ7" s="49" t="s">
        <v>206</v>
      </c>
      <c r="AK7" s="49" t="s">
        <v>215</v>
      </c>
      <c r="AL7" s="50" t="s">
        <v>216</v>
      </c>
      <c r="AM7" s="47"/>
    </row>
    <row r="8" spans="1:39" ht="110.25" x14ac:dyDescent="0.3">
      <c r="A8" s="53" t="str">
        <f>IF('Building Typology'!A9=0," ",'Building Typology'!A9)</f>
        <v>Class 'B' &amp; 'C' - electric</v>
      </c>
      <c r="B8" s="44"/>
      <c r="C8" s="41" t="s">
        <v>123</v>
      </c>
      <c r="D8" s="42" t="s">
        <v>88</v>
      </c>
      <c r="E8" s="42" t="s">
        <v>89</v>
      </c>
      <c r="F8" s="42" t="s">
        <v>238</v>
      </c>
      <c r="G8" s="47"/>
      <c r="H8" s="42" t="s">
        <v>108</v>
      </c>
      <c r="I8" s="42" t="s">
        <v>92</v>
      </c>
      <c r="J8" s="47"/>
      <c r="K8" s="42" t="s">
        <v>125</v>
      </c>
      <c r="L8" s="42" t="s">
        <v>126</v>
      </c>
      <c r="M8" s="47"/>
      <c r="N8" s="42" t="s">
        <v>125</v>
      </c>
      <c r="O8" s="42" t="s">
        <v>126</v>
      </c>
      <c r="P8" s="47"/>
      <c r="Q8" s="42" t="s">
        <v>127</v>
      </c>
      <c r="R8" s="42" t="s">
        <v>122</v>
      </c>
      <c r="S8" s="47"/>
      <c r="T8" s="42" t="s">
        <v>124</v>
      </c>
      <c r="U8" s="42" t="s">
        <v>110</v>
      </c>
      <c r="V8" s="47"/>
      <c r="W8" s="42" t="s">
        <v>108</v>
      </c>
      <c r="X8" s="42" t="s">
        <v>92</v>
      </c>
      <c r="Y8" s="47"/>
      <c r="Z8" s="49" t="s">
        <v>210</v>
      </c>
      <c r="AA8" s="49" t="s">
        <v>211</v>
      </c>
      <c r="AB8" s="49" t="s">
        <v>212</v>
      </c>
      <c r="AC8" s="47"/>
      <c r="AD8" s="49" t="s">
        <v>217</v>
      </c>
      <c r="AE8" s="49" t="s">
        <v>214</v>
      </c>
      <c r="AF8" s="49" t="s">
        <v>204</v>
      </c>
      <c r="AG8" s="47"/>
      <c r="AH8" s="49" t="s">
        <v>217</v>
      </c>
      <c r="AI8" s="49" t="s">
        <v>214</v>
      </c>
      <c r="AJ8" s="49" t="s">
        <v>206</v>
      </c>
      <c r="AK8" s="49" t="s">
        <v>218</v>
      </c>
      <c r="AL8" s="50" t="s">
        <v>216</v>
      </c>
      <c r="AM8" s="47"/>
    </row>
    <row r="9" spans="1:39" x14ac:dyDescent="0.3">
      <c r="A9" s="48" t="str">
        <f>IF('Building Typology'!A10=0," ",'Building Typology'!A10)</f>
        <v xml:space="preserve"> </v>
      </c>
      <c r="B9" s="44"/>
      <c r="C9" s="47"/>
      <c r="D9" s="48"/>
      <c r="E9" s="48"/>
      <c r="F9" s="48"/>
      <c r="G9" s="47"/>
      <c r="H9" s="48"/>
      <c r="I9" s="48"/>
      <c r="J9" s="47"/>
      <c r="K9" s="48"/>
      <c r="L9" s="48"/>
      <c r="M9" s="47"/>
      <c r="N9" s="48"/>
      <c r="O9" s="48"/>
      <c r="P9" s="47"/>
      <c r="Q9" s="48"/>
      <c r="R9" s="48"/>
      <c r="S9" s="47"/>
      <c r="T9" s="48"/>
      <c r="U9" s="48"/>
      <c r="V9" s="47"/>
      <c r="W9" s="48"/>
      <c r="X9" s="48"/>
      <c r="Y9" s="47"/>
      <c r="Z9" s="51"/>
      <c r="AA9" s="51"/>
      <c r="AB9" s="51"/>
      <c r="AC9" s="47"/>
      <c r="AD9" s="51"/>
      <c r="AE9" s="51"/>
      <c r="AF9" s="51"/>
      <c r="AG9" s="47"/>
      <c r="AH9" s="51"/>
      <c r="AI9" s="51"/>
      <c r="AJ9" s="51"/>
      <c r="AK9" s="51"/>
      <c r="AL9" s="44"/>
      <c r="AM9" s="47"/>
    </row>
    <row r="10" spans="1:39" ht="19.5" x14ac:dyDescent="0.3">
      <c r="A10" s="64" t="str">
        <f>IF('Building Typology'!A11=0," ",'Building Typology'!A11)</f>
        <v>RETAIL &amp; HOSPITALITY</v>
      </c>
      <c r="B10" s="44"/>
      <c r="C10" s="52"/>
      <c r="D10" s="53"/>
      <c r="E10" s="53"/>
      <c r="F10" s="53"/>
      <c r="G10" s="47"/>
      <c r="H10" s="53"/>
      <c r="I10" s="53"/>
      <c r="J10" s="47"/>
      <c r="K10" s="53"/>
      <c r="L10" s="53"/>
      <c r="M10" s="47"/>
      <c r="N10" s="53"/>
      <c r="O10" s="53"/>
      <c r="P10" s="47"/>
      <c r="Q10" s="53"/>
      <c r="R10" s="53"/>
      <c r="S10" s="47"/>
      <c r="T10" s="53"/>
      <c r="U10" s="53"/>
      <c r="V10" s="47"/>
      <c r="W10" s="53"/>
      <c r="X10" s="53"/>
      <c r="Y10" s="47"/>
      <c r="Z10" s="54"/>
      <c r="AA10" s="54"/>
      <c r="AB10" s="54"/>
      <c r="AC10" s="47"/>
      <c r="AD10" s="54"/>
      <c r="AE10" s="54"/>
      <c r="AF10" s="54"/>
      <c r="AG10" s="47"/>
      <c r="AH10" s="54"/>
      <c r="AI10" s="54"/>
      <c r="AJ10" s="54"/>
      <c r="AK10" s="54"/>
      <c r="AL10" s="46"/>
      <c r="AM10" s="47"/>
    </row>
    <row r="11" spans="1:39" ht="110.25" x14ac:dyDescent="0.3">
      <c r="A11" s="53" t="str">
        <f>IF('Building Typology'!A12=0," ",'Building Typology'!A12)</f>
        <v>Restaurant - gas MAU + RTU</v>
      </c>
      <c r="B11" s="44"/>
      <c r="C11" s="41" t="s">
        <v>128</v>
      </c>
      <c r="D11" s="42" t="s">
        <v>129</v>
      </c>
      <c r="E11" s="42" t="s">
        <v>129</v>
      </c>
      <c r="F11" s="42" t="s">
        <v>238</v>
      </c>
      <c r="G11" s="47"/>
      <c r="H11" s="42" t="s">
        <v>130</v>
      </c>
      <c r="I11" s="42" t="s">
        <v>92</v>
      </c>
      <c r="J11" s="47"/>
      <c r="K11" s="42" t="s">
        <v>133</v>
      </c>
      <c r="L11" s="42" t="s">
        <v>110</v>
      </c>
      <c r="M11" s="47"/>
      <c r="N11" s="42" t="s">
        <v>133</v>
      </c>
      <c r="O11" s="42" t="s">
        <v>110</v>
      </c>
      <c r="P11" s="47"/>
      <c r="Q11" s="42" t="s">
        <v>134</v>
      </c>
      <c r="R11" s="42" t="s">
        <v>99</v>
      </c>
      <c r="S11" s="47"/>
      <c r="T11" s="42" t="s">
        <v>131</v>
      </c>
      <c r="U11" s="42" t="s">
        <v>132</v>
      </c>
      <c r="V11" s="47"/>
      <c r="W11" s="42" t="s">
        <v>130</v>
      </c>
      <c r="X11" s="42" t="s">
        <v>92</v>
      </c>
      <c r="Y11" s="47"/>
      <c r="Z11" s="49" t="s">
        <v>219</v>
      </c>
      <c r="AA11" s="49" t="s">
        <v>220</v>
      </c>
      <c r="AB11" s="49" t="s">
        <v>212</v>
      </c>
      <c r="AC11" s="47"/>
      <c r="AD11" s="49" t="s">
        <v>221</v>
      </c>
      <c r="AE11" s="49" t="s">
        <v>222</v>
      </c>
      <c r="AF11" s="49" t="s">
        <v>204</v>
      </c>
      <c r="AG11" s="47"/>
      <c r="AH11" s="49" t="s">
        <v>221</v>
      </c>
      <c r="AI11" s="49" t="s">
        <v>222</v>
      </c>
      <c r="AJ11" s="49" t="s">
        <v>206</v>
      </c>
      <c r="AK11" s="49" t="s">
        <v>223</v>
      </c>
      <c r="AL11" s="50" t="s">
        <v>224</v>
      </c>
      <c r="AM11" s="47"/>
    </row>
    <row r="12" spans="1:39" ht="236.25" x14ac:dyDescent="0.3">
      <c r="A12" s="53" t="str">
        <f>IF('Building Typology'!A13=0," ",'Building Typology'!A13)</f>
        <v>High-rise hotel - gas boiler</v>
      </c>
      <c r="B12" s="44"/>
      <c r="C12" s="41" t="s">
        <v>135</v>
      </c>
      <c r="D12" s="42" t="s">
        <v>129</v>
      </c>
      <c r="E12" s="42" t="s">
        <v>88</v>
      </c>
      <c r="F12" s="42" t="s">
        <v>90</v>
      </c>
      <c r="G12" s="47"/>
      <c r="H12" s="42" t="s">
        <v>91</v>
      </c>
      <c r="I12" s="42" t="s">
        <v>92</v>
      </c>
      <c r="J12" s="47"/>
      <c r="K12" s="42" t="s">
        <v>137</v>
      </c>
      <c r="L12" s="42" t="s">
        <v>138</v>
      </c>
      <c r="M12" s="47"/>
      <c r="N12" s="42" t="s">
        <v>137</v>
      </c>
      <c r="O12" s="42" t="s">
        <v>138</v>
      </c>
      <c r="P12" s="47"/>
      <c r="Q12" s="42" t="s">
        <v>139</v>
      </c>
      <c r="R12" s="42" t="s">
        <v>99</v>
      </c>
      <c r="S12" s="47"/>
      <c r="T12" s="42" t="s">
        <v>136</v>
      </c>
      <c r="U12" s="42" t="s">
        <v>94</v>
      </c>
      <c r="V12" s="47"/>
      <c r="W12" s="42" t="s">
        <v>91</v>
      </c>
      <c r="X12" s="42" t="s">
        <v>92</v>
      </c>
      <c r="Y12" s="47"/>
      <c r="Z12" s="49" t="s">
        <v>225</v>
      </c>
      <c r="AA12" s="49" t="s">
        <v>226</v>
      </c>
      <c r="AB12" s="49" t="s">
        <v>227</v>
      </c>
      <c r="AC12" s="47"/>
      <c r="AD12" s="49" t="s">
        <v>228</v>
      </c>
      <c r="AE12" s="49" t="s">
        <v>214</v>
      </c>
      <c r="AF12" s="49" t="s">
        <v>204</v>
      </c>
      <c r="AG12" s="47"/>
      <c r="AH12" s="49" t="s">
        <v>228</v>
      </c>
      <c r="AI12" s="49" t="s">
        <v>214</v>
      </c>
      <c r="AJ12" s="49" t="s">
        <v>206</v>
      </c>
      <c r="AK12" s="49" t="s">
        <v>229</v>
      </c>
      <c r="AL12" s="50" t="s">
        <v>230</v>
      </c>
      <c r="AM12" s="47"/>
    </row>
    <row r="13" spans="1:39" ht="141.75" x14ac:dyDescent="0.3">
      <c r="A13" s="53" t="str">
        <f>IF('Building Typology'!A14=0," ",'Building Typology'!A14)</f>
        <v>High-rise hotel - electric</v>
      </c>
      <c r="B13" s="44"/>
      <c r="C13" s="41" t="s">
        <v>140</v>
      </c>
      <c r="D13" s="42" t="s">
        <v>129</v>
      </c>
      <c r="E13" s="42" t="s">
        <v>88</v>
      </c>
      <c r="F13" s="42" t="s">
        <v>238</v>
      </c>
      <c r="G13" s="47"/>
      <c r="H13" s="42" t="s">
        <v>141</v>
      </c>
      <c r="I13" s="42" t="s">
        <v>92</v>
      </c>
      <c r="J13" s="47"/>
      <c r="K13" s="42" t="s">
        <v>144</v>
      </c>
      <c r="L13" s="42" t="s">
        <v>145</v>
      </c>
      <c r="M13" s="47"/>
      <c r="N13" s="42" t="s">
        <v>144</v>
      </c>
      <c r="O13" s="42" t="s">
        <v>145</v>
      </c>
      <c r="P13" s="47"/>
      <c r="Q13" s="42" t="s">
        <v>146</v>
      </c>
      <c r="R13" s="42" t="s">
        <v>99</v>
      </c>
      <c r="S13" s="47"/>
      <c r="T13" s="42" t="s">
        <v>143</v>
      </c>
      <c r="U13" s="42" t="s">
        <v>94</v>
      </c>
      <c r="V13" s="47"/>
      <c r="W13" s="42" t="s">
        <v>142</v>
      </c>
      <c r="X13" s="42" t="s">
        <v>92</v>
      </c>
      <c r="Y13" s="47"/>
      <c r="Z13" s="49" t="s">
        <v>225</v>
      </c>
      <c r="AA13" s="49" t="s">
        <v>226</v>
      </c>
      <c r="AB13" s="49" t="s">
        <v>227</v>
      </c>
      <c r="AC13" s="47"/>
      <c r="AD13" s="49" t="s">
        <v>228</v>
      </c>
      <c r="AE13" s="49" t="s">
        <v>214</v>
      </c>
      <c r="AF13" s="49" t="s">
        <v>204</v>
      </c>
      <c r="AG13" s="47"/>
      <c r="AH13" s="49" t="s">
        <v>228</v>
      </c>
      <c r="AI13" s="49" t="s">
        <v>214</v>
      </c>
      <c r="AJ13" s="49" t="s">
        <v>206</v>
      </c>
      <c r="AK13" s="49" t="s">
        <v>231</v>
      </c>
      <c r="AL13" s="50" t="s">
        <v>232</v>
      </c>
      <c r="AM13" s="47"/>
    </row>
    <row r="14" spans="1:39" ht="94.5" x14ac:dyDescent="0.3">
      <c r="A14" s="53" t="str">
        <f>IF('Building Typology'!A15=0," ",'Building Typology'!A15)</f>
        <v>Standalone retail</v>
      </c>
      <c r="B14" s="44"/>
      <c r="C14" s="41" t="s">
        <v>147</v>
      </c>
      <c r="D14" s="42" t="s">
        <v>88</v>
      </c>
      <c r="E14" s="42" t="s">
        <v>89</v>
      </c>
      <c r="F14" s="42" t="s">
        <v>238</v>
      </c>
      <c r="G14" s="47"/>
      <c r="H14" s="42" t="s">
        <v>147</v>
      </c>
      <c r="I14" s="42" t="s">
        <v>92</v>
      </c>
      <c r="J14" s="47"/>
      <c r="K14" s="42" t="s">
        <v>149</v>
      </c>
      <c r="L14" s="42" t="s">
        <v>110</v>
      </c>
      <c r="M14" s="47"/>
      <c r="N14" s="42" t="s">
        <v>149</v>
      </c>
      <c r="O14" s="42" t="s">
        <v>110</v>
      </c>
      <c r="P14" s="47"/>
      <c r="Q14" s="42" t="s">
        <v>491</v>
      </c>
      <c r="R14" s="42" t="s">
        <v>99</v>
      </c>
      <c r="S14" s="47"/>
      <c r="T14" s="42" t="s">
        <v>148</v>
      </c>
      <c r="U14" s="42" t="s">
        <v>110</v>
      </c>
      <c r="V14" s="47"/>
      <c r="W14" s="42" t="s">
        <v>147</v>
      </c>
      <c r="X14" s="42" t="s">
        <v>92</v>
      </c>
      <c r="Y14" s="47"/>
      <c r="Z14" s="49" t="s">
        <v>233</v>
      </c>
      <c r="AA14" s="49" t="s">
        <v>234</v>
      </c>
      <c r="AB14" s="49" t="s">
        <v>227</v>
      </c>
      <c r="AC14" s="47"/>
      <c r="AD14" s="49" t="s">
        <v>235</v>
      </c>
      <c r="AE14" s="49" t="s">
        <v>222</v>
      </c>
      <c r="AF14" s="49" t="s">
        <v>204</v>
      </c>
      <c r="AG14" s="47"/>
      <c r="AH14" s="49" t="s">
        <v>235</v>
      </c>
      <c r="AI14" s="49" t="s">
        <v>222</v>
      </c>
      <c r="AJ14" s="49" t="s">
        <v>206</v>
      </c>
      <c r="AK14" s="49" t="s">
        <v>236</v>
      </c>
      <c r="AL14" s="50" t="s">
        <v>237</v>
      </c>
      <c r="AM14" s="47"/>
    </row>
    <row r="15" spans="1:39" ht="157.5" x14ac:dyDescent="0.3">
      <c r="A15" s="53" t="str">
        <f>IF('Building Typology'!A16=0," ",'Building Typology'!A16)</f>
        <v>Mall retail</v>
      </c>
      <c r="B15" s="44"/>
      <c r="C15" s="41" t="s">
        <v>150</v>
      </c>
      <c r="D15" s="42" t="s">
        <v>88</v>
      </c>
      <c r="E15" s="42" t="s">
        <v>89</v>
      </c>
      <c r="F15" s="42" t="s">
        <v>90</v>
      </c>
      <c r="G15" s="47"/>
      <c r="H15" s="42" t="s">
        <v>151</v>
      </c>
      <c r="I15" s="42" t="s">
        <v>92</v>
      </c>
      <c r="J15" s="47"/>
      <c r="K15" s="42" t="s">
        <v>95</v>
      </c>
      <c r="L15" s="42" t="s">
        <v>110</v>
      </c>
      <c r="M15" s="47"/>
      <c r="N15" s="42" t="s">
        <v>154</v>
      </c>
      <c r="O15" s="42" t="s">
        <v>110</v>
      </c>
      <c r="P15" s="47"/>
      <c r="Q15" s="42" t="s">
        <v>492</v>
      </c>
      <c r="R15" s="42" t="s">
        <v>99</v>
      </c>
      <c r="S15" s="47"/>
      <c r="T15" s="42" t="s">
        <v>153</v>
      </c>
      <c r="U15" s="42" t="s">
        <v>94</v>
      </c>
      <c r="V15" s="47"/>
      <c r="W15" s="42" t="s">
        <v>152</v>
      </c>
      <c r="X15" s="42" t="s">
        <v>92</v>
      </c>
      <c r="Y15" s="47"/>
      <c r="Z15" s="41" t="s">
        <v>314</v>
      </c>
      <c r="AA15" s="41" t="s">
        <v>314</v>
      </c>
      <c r="AB15" s="41" t="s">
        <v>314</v>
      </c>
      <c r="AC15" s="47"/>
      <c r="AD15" s="41" t="s">
        <v>314</v>
      </c>
      <c r="AE15" s="41" t="s">
        <v>314</v>
      </c>
      <c r="AF15" s="41" t="s">
        <v>314</v>
      </c>
      <c r="AG15" s="47"/>
      <c r="AH15" s="41" t="s">
        <v>314</v>
      </c>
      <c r="AI15" s="41" t="s">
        <v>314</v>
      </c>
      <c r="AJ15" s="41" t="s">
        <v>314</v>
      </c>
      <c r="AK15" s="49" t="s">
        <v>239</v>
      </c>
      <c r="AL15" s="50" t="s">
        <v>240</v>
      </c>
      <c r="AM15" s="47"/>
    </row>
    <row r="16" spans="1:39" x14ac:dyDescent="0.3">
      <c r="A16" s="48" t="str">
        <f>IF('Building Typology'!A17=0," ",'Building Typology'!A17)</f>
        <v xml:space="preserve"> </v>
      </c>
      <c r="B16" s="44"/>
      <c r="C16" s="47"/>
      <c r="D16" s="48"/>
      <c r="E16" s="48"/>
      <c r="F16" s="48"/>
      <c r="G16" s="47"/>
      <c r="H16" s="48"/>
      <c r="I16" s="48"/>
      <c r="J16" s="47"/>
      <c r="K16" s="48"/>
      <c r="L16" s="48"/>
      <c r="M16" s="47"/>
      <c r="N16" s="48"/>
      <c r="O16" s="48"/>
      <c r="P16" s="47"/>
      <c r="Q16" s="48"/>
      <c r="R16" s="48"/>
      <c r="S16" s="47"/>
      <c r="T16" s="48"/>
      <c r="U16" s="48"/>
      <c r="V16" s="47"/>
      <c r="W16" s="48"/>
      <c r="X16" s="48"/>
      <c r="Y16" s="47"/>
      <c r="Z16" s="51"/>
      <c r="AA16" s="51"/>
      <c r="AB16" s="51"/>
      <c r="AC16" s="47"/>
      <c r="AD16" s="51"/>
      <c r="AE16" s="51"/>
      <c r="AF16" s="51"/>
      <c r="AG16" s="47"/>
      <c r="AH16" s="51"/>
      <c r="AI16" s="51"/>
      <c r="AJ16" s="51"/>
      <c r="AK16" s="51"/>
      <c r="AL16" s="44"/>
      <c r="AM16" s="47"/>
    </row>
    <row r="17" spans="1:39" ht="19.5" x14ac:dyDescent="0.3">
      <c r="A17" s="64" t="str">
        <f>IF('Building Typology'!A18=0," ",'Building Typology'!A18)</f>
        <v>MULTI-UNIT RESIDENTIAL</v>
      </c>
      <c r="B17" s="44"/>
      <c r="C17" s="52"/>
      <c r="D17" s="53"/>
      <c r="E17" s="53"/>
      <c r="F17" s="53"/>
      <c r="G17" s="47"/>
      <c r="H17" s="53"/>
      <c r="I17" s="53"/>
      <c r="J17" s="47"/>
      <c r="K17" s="53"/>
      <c r="L17" s="53"/>
      <c r="M17" s="47"/>
      <c r="N17" s="53"/>
      <c r="O17" s="53"/>
      <c r="P17" s="47"/>
      <c r="Q17" s="53"/>
      <c r="R17" s="53"/>
      <c r="S17" s="47"/>
      <c r="T17" s="53"/>
      <c r="U17" s="53"/>
      <c r="V17" s="47"/>
      <c r="W17" s="53"/>
      <c r="X17" s="53"/>
      <c r="Y17" s="47"/>
      <c r="Z17" s="54"/>
      <c r="AA17" s="54"/>
      <c r="AB17" s="54"/>
      <c r="AC17" s="47"/>
      <c r="AD17" s="54"/>
      <c r="AE17" s="54"/>
      <c r="AF17" s="54"/>
      <c r="AG17" s="47"/>
      <c r="AH17" s="54"/>
      <c r="AI17" s="54"/>
      <c r="AJ17" s="54"/>
      <c r="AK17" s="54"/>
      <c r="AL17" s="46"/>
      <c r="AM17" s="47"/>
    </row>
    <row r="18" spans="1:39" ht="220.5" x14ac:dyDescent="0.3">
      <c r="A18" s="53" t="str">
        <f>IF('Building Typology'!A19=0," ",'Building Typology'!A19)</f>
        <v>Pre-2004 apartment - gas boiler</v>
      </c>
      <c r="B18" s="44"/>
      <c r="C18" s="41" t="s">
        <v>135</v>
      </c>
      <c r="D18" s="42" t="s">
        <v>129</v>
      </c>
      <c r="E18" s="42" t="s">
        <v>88</v>
      </c>
      <c r="F18" s="42" t="s">
        <v>238</v>
      </c>
      <c r="G18" s="47"/>
      <c r="H18" s="42" t="s">
        <v>155</v>
      </c>
      <c r="I18" s="42" t="s">
        <v>92</v>
      </c>
      <c r="J18" s="47"/>
      <c r="K18" s="42" t="s">
        <v>158</v>
      </c>
      <c r="L18" s="42" t="s">
        <v>110</v>
      </c>
      <c r="M18" s="47"/>
      <c r="N18" s="42" t="s">
        <v>158</v>
      </c>
      <c r="O18" s="42" t="s">
        <v>110</v>
      </c>
      <c r="P18" s="47"/>
      <c r="Q18" s="42" t="s">
        <v>159</v>
      </c>
      <c r="R18" s="42" t="s">
        <v>99</v>
      </c>
      <c r="S18" s="47"/>
      <c r="T18" s="42" t="s">
        <v>157</v>
      </c>
      <c r="U18" s="42" t="s">
        <v>94</v>
      </c>
      <c r="V18" s="47"/>
      <c r="W18" s="42" t="s">
        <v>156</v>
      </c>
      <c r="X18" s="42" t="s">
        <v>92</v>
      </c>
      <c r="Y18" s="47"/>
      <c r="Z18" s="49" t="s">
        <v>241</v>
      </c>
      <c r="AA18" s="49" t="s">
        <v>226</v>
      </c>
      <c r="AB18" s="49" t="s">
        <v>227</v>
      </c>
      <c r="AC18" s="47"/>
      <c r="AD18" s="49" t="s">
        <v>242</v>
      </c>
      <c r="AE18" s="49" t="s">
        <v>243</v>
      </c>
      <c r="AF18" s="49" t="s">
        <v>206</v>
      </c>
      <c r="AG18" s="47"/>
      <c r="AH18" s="49" t="s">
        <v>217</v>
      </c>
      <c r="AI18" s="49" t="s">
        <v>214</v>
      </c>
      <c r="AJ18" s="49" t="s">
        <v>206</v>
      </c>
      <c r="AK18" s="49" t="s">
        <v>244</v>
      </c>
      <c r="AL18" s="50" t="s">
        <v>245</v>
      </c>
      <c r="AM18" s="47"/>
    </row>
    <row r="19" spans="1:39" ht="141.75" x14ac:dyDescent="0.3">
      <c r="A19" s="53" t="str">
        <f>IF('Building Typology'!A20=0," ",'Building Typology'!A20)</f>
        <v>Pre-2004 apartment - electric</v>
      </c>
      <c r="B19" s="44"/>
      <c r="C19" s="41" t="s">
        <v>160</v>
      </c>
      <c r="D19" s="42" t="s">
        <v>129</v>
      </c>
      <c r="E19" s="42" t="s">
        <v>88</v>
      </c>
      <c r="F19" s="42" t="s">
        <v>238</v>
      </c>
      <c r="G19" s="47"/>
      <c r="H19" s="42" t="s">
        <v>161</v>
      </c>
      <c r="I19" s="42" t="s">
        <v>92</v>
      </c>
      <c r="J19" s="47"/>
      <c r="K19" s="42" t="s">
        <v>144</v>
      </c>
      <c r="L19" s="42" t="s">
        <v>110</v>
      </c>
      <c r="M19" s="47"/>
      <c r="N19" s="42" t="s">
        <v>144</v>
      </c>
      <c r="O19" s="42" t="s">
        <v>110</v>
      </c>
      <c r="P19" s="47"/>
      <c r="Q19" s="42" t="s">
        <v>493</v>
      </c>
      <c r="R19" s="42" t="s">
        <v>99</v>
      </c>
      <c r="S19" s="47"/>
      <c r="T19" s="42" t="s">
        <v>163</v>
      </c>
      <c r="U19" s="42" t="s">
        <v>110</v>
      </c>
      <c r="V19" s="47"/>
      <c r="W19" s="42" t="s">
        <v>162</v>
      </c>
      <c r="X19" s="42"/>
      <c r="Y19" s="47"/>
      <c r="Z19" s="49" t="s">
        <v>241</v>
      </c>
      <c r="AA19" s="49" t="s">
        <v>226</v>
      </c>
      <c r="AB19" s="49" t="s">
        <v>227</v>
      </c>
      <c r="AC19" s="47"/>
      <c r="AD19" s="49" t="s">
        <v>242</v>
      </c>
      <c r="AE19" s="49" t="s">
        <v>243</v>
      </c>
      <c r="AF19" s="49" t="s">
        <v>206</v>
      </c>
      <c r="AG19" s="47"/>
      <c r="AH19" s="49" t="s">
        <v>217</v>
      </c>
      <c r="AI19" s="49" t="s">
        <v>214</v>
      </c>
      <c r="AJ19" s="49" t="s">
        <v>206</v>
      </c>
      <c r="AK19" s="49" t="s">
        <v>246</v>
      </c>
      <c r="AL19" s="50" t="s">
        <v>247</v>
      </c>
      <c r="AM19" s="47"/>
    </row>
    <row r="20" spans="1:39" ht="31.5" x14ac:dyDescent="0.3">
      <c r="A20" s="65" t="str">
        <f>IF('Building Typology'!A21=0," ",'Building Typology'!A21)</f>
        <v>Post-2004 condo (window glazing alternate)</v>
      </c>
      <c r="B20" s="44"/>
      <c r="C20" s="41" t="s">
        <v>314</v>
      </c>
      <c r="D20" s="41" t="s">
        <v>314</v>
      </c>
      <c r="E20" s="41" t="s">
        <v>314</v>
      </c>
      <c r="F20" s="41" t="s">
        <v>314</v>
      </c>
      <c r="G20" s="47"/>
      <c r="H20" s="41" t="s">
        <v>314</v>
      </c>
      <c r="I20" s="41" t="s">
        <v>314</v>
      </c>
      <c r="J20" s="47"/>
      <c r="K20" s="41" t="s">
        <v>314</v>
      </c>
      <c r="L20" s="41" t="s">
        <v>314</v>
      </c>
      <c r="M20" s="47"/>
      <c r="N20" s="41" t="s">
        <v>314</v>
      </c>
      <c r="O20" s="41" t="s">
        <v>314</v>
      </c>
      <c r="P20" s="47"/>
      <c r="Q20" s="41" t="s">
        <v>314</v>
      </c>
      <c r="R20" s="41" t="s">
        <v>314</v>
      </c>
      <c r="S20" s="47"/>
      <c r="T20" s="41" t="s">
        <v>314</v>
      </c>
      <c r="U20" s="41" t="s">
        <v>314</v>
      </c>
      <c r="V20" s="47"/>
      <c r="W20" s="41" t="s">
        <v>314</v>
      </c>
      <c r="X20" s="41" t="s">
        <v>314</v>
      </c>
      <c r="Y20" s="47"/>
      <c r="Z20" s="41" t="s">
        <v>314</v>
      </c>
      <c r="AA20" s="49" t="s">
        <v>248</v>
      </c>
      <c r="AB20" s="41" t="s">
        <v>314</v>
      </c>
      <c r="AC20" s="47"/>
      <c r="AD20" s="41" t="s">
        <v>314</v>
      </c>
      <c r="AE20" s="49" t="s">
        <v>214</v>
      </c>
      <c r="AF20" s="41" t="s">
        <v>314</v>
      </c>
      <c r="AG20" s="47"/>
      <c r="AH20" s="41" t="s">
        <v>314</v>
      </c>
      <c r="AI20" s="49" t="s">
        <v>214</v>
      </c>
      <c r="AJ20" s="41" t="s">
        <v>314</v>
      </c>
      <c r="AK20" s="41" t="s">
        <v>314</v>
      </c>
      <c r="AL20" s="41" t="s">
        <v>314</v>
      </c>
      <c r="AM20" s="47"/>
    </row>
    <row r="21" spans="1:39" ht="204.75" x14ac:dyDescent="0.3">
      <c r="A21" s="53" t="str">
        <f>IF('Building Typology'!A22=0," ",'Building Typology'!A22)</f>
        <v>Post-2004 condo</v>
      </c>
      <c r="B21" s="44"/>
      <c r="C21" s="41" t="s">
        <v>164</v>
      </c>
      <c r="D21" s="42" t="s">
        <v>129</v>
      </c>
      <c r="E21" s="42" t="s">
        <v>88</v>
      </c>
      <c r="F21" s="42" t="s">
        <v>238</v>
      </c>
      <c r="G21" s="47"/>
      <c r="H21" s="42" t="s">
        <v>165</v>
      </c>
      <c r="I21" s="42" t="s">
        <v>92</v>
      </c>
      <c r="J21" s="47"/>
      <c r="K21" s="42" t="s">
        <v>167</v>
      </c>
      <c r="L21" s="42" t="s">
        <v>110</v>
      </c>
      <c r="M21" s="47"/>
      <c r="N21" s="42" t="s">
        <v>167</v>
      </c>
      <c r="O21" s="42" t="s">
        <v>110</v>
      </c>
      <c r="P21" s="47"/>
      <c r="Q21" s="42" t="s">
        <v>159</v>
      </c>
      <c r="R21" s="42" t="s">
        <v>99</v>
      </c>
      <c r="S21" s="47"/>
      <c r="T21" s="42" t="s">
        <v>166</v>
      </c>
      <c r="U21" s="42" t="s">
        <v>94</v>
      </c>
      <c r="V21" s="47"/>
      <c r="W21" s="42" t="s">
        <v>165</v>
      </c>
      <c r="X21" s="42" t="s">
        <v>92</v>
      </c>
      <c r="Y21" s="47"/>
      <c r="Z21" s="49" t="s">
        <v>249</v>
      </c>
      <c r="AA21" s="49" t="s">
        <v>248</v>
      </c>
      <c r="AB21" s="49" t="s">
        <v>227</v>
      </c>
      <c r="AC21" s="47"/>
      <c r="AD21" s="49" t="s">
        <v>250</v>
      </c>
      <c r="AE21" s="49" t="s">
        <v>251</v>
      </c>
      <c r="AF21" s="49" t="s">
        <v>206</v>
      </c>
      <c r="AG21" s="47"/>
      <c r="AH21" s="49" t="s">
        <v>250</v>
      </c>
      <c r="AI21" s="49" t="s">
        <v>251</v>
      </c>
      <c r="AJ21" s="49" t="s">
        <v>206</v>
      </c>
      <c r="AK21" s="49" t="s">
        <v>252</v>
      </c>
      <c r="AL21" s="50" t="s">
        <v>253</v>
      </c>
      <c r="AM21" s="47"/>
    </row>
    <row r="22" spans="1:39" x14ac:dyDescent="0.3">
      <c r="A22" s="48" t="str">
        <f>IF('Building Typology'!A23=0," ",'Building Typology'!A23)</f>
        <v xml:space="preserve"> </v>
      </c>
      <c r="B22" s="44"/>
      <c r="C22" s="47"/>
      <c r="D22" s="48"/>
      <c r="E22" s="48"/>
      <c r="F22" s="48"/>
      <c r="G22" s="47"/>
      <c r="H22" s="48"/>
      <c r="I22" s="48"/>
      <c r="J22" s="47"/>
      <c r="K22" s="48"/>
      <c r="L22" s="48"/>
      <c r="M22" s="47"/>
      <c r="N22" s="48"/>
      <c r="O22" s="48"/>
      <c r="P22" s="47"/>
      <c r="Q22" s="48"/>
      <c r="R22" s="48"/>
      <c r="S22" s="47"/>
      <c r="T22" s="48"/>
      <c r="U22" s="48"/>
      <c r="V22" s="47"/>
      <c r="W22" s="48"/>
      <c r="X22" s="48"/>
      <c r="Y22" s="47"/>
      <c r="Z22" s="51"/>
      <c r="AA22" s="51"/>
      <c r="AB22" s="51"/>
      <c r="AC22" s="47"/>
      <c r="AD22" s="51"/>
      <c r="AE22" s="51"/>
      <c r="AF22" s="51"/>
      <c r="AG22" s="47"/>
      <c r="AH22" s="51"/>
      <c r="AI22" s="51"/>
      <c r="AJ22" s="51"/>
      <c r="AK22" s="51"/>
      <c r="AL22" s="44"/>
      <c r="AM22" s="47"/>
    </row>
    <row r="23" spans="1:39" ht="19.5" x14ac:dyDescent="0.3">
      <c r="A23" s="64" t="str">
        <f>IF('Building Typology'!A24=0," ",'Building Typology'!A24)</f>
        <v>RESIDENTIAL</v>
      </c>
      <c r="B23" s="44"/>
      <c r="C23" s="52"/>
      <c r="D23" s="53"/>
      <c r="E23" s="53"/>
      <c r="F23" s="53"/>
      <c r="G23" s="47"/>
      <c r="H23" s="53"/>
      <c r="I23" s="53"/>
      <c r="J23" s="47"/>
      <c r="K23" s="53"/>
      <c r="L23" s="53"/>
      <c r="M23" s="47"/>
      <c r="N23" s="53"/>
      <c r="O23" s="53"/>
      <c r="P23" s="47"/>
      <c r="Q23" s="53"/>
      <c r="R23" s="53"/>
      <c r="S23" s="47"/>
      <c r="T23" s="53"/>
      <c r="U23" s="53"/>
      <c r="V23" s="47"/>
      <c r="W23" s="53"/>
      <c r="X23" s="53"/>
      <c r="Y23" s="47"/>
      <c r="Z23" s="54"/>
      <c r="AA23" s="54"/>
      <c r="AB23" s="54"/>
      <c r="AC23" s="47"/>
      <c r="AD23" s="54"/>
      <c r="AE23" s="54"/>
      <c r="AF23" s="54"/>
      <c r="AG23" s="47"/>
      <c r="AH23" s="54"/>
      <c r="AI23" s="54"/>
      <c r="AJ23" s="54"/>
      <c r="AK23" s="54"/>
      <c r="AL23" s="46"/>
      <c r="AM23" s="47"/>
    </row>
    <row r="24" spans="1:39" ht="31.5" x14ac:dyDescent="0.3">
      <c r="A24" s="53" t="str">
        <f>IF('Building Typology'!A25=0," ",'Building Typology'!A25)</f>
        <v>Typical house
(Pitched Roof)(Int. Wall Reno)</v>
      </c>
      <c r="B24" s="44"/>
      <c r="C24" s="41" t="s">
        <v>314</v>
      </c>
      <c r="D24" s="41" t="s">
        <v>314</v>
      </c>
      <c r="E24" s="41" t="s">
        <v>314</v>
      </c>
      <c r="F24" s="41" t="s">
        <v>238</v>
      </c>
      <c r="G24" s="47"/>
      <c r="H24" s="41" t="s">
        <v>314</v>
      </c>
      <c r="I24" s="41" t="s">
        <v>314</v>
      </c>
      <c r="J24" s="47"/>
      <c r="K24" s="41" t="s">
        <v>314</v>
      </c>
      <c r="L24" s="41" t="s">
        <v>314</v>
      </c>
      <c r="M24" s="47"/>
      <c r="N24" s="41" t="s">
        <v>314</v>
      </c>
      <c r="O24" s="41" t="s">
        <v>314</v>
      </c>
      <c r="P24" s="47"/>
      <c r="Q24" s="41" t="s">
        <v>314</v>
      </c>
      <c r="R24" s="41" t="s">
        <v>314</v>
      </c>
      <c r="S24" s="47"/>
      <c r="T24" s="41" t="s">
        <v>314</v>
      </c>
      <c r="U24" s="41" t="s">
        <v>314</v>
      </c>
      <c r="V24" s="47"/>
      <c r="W24" s="41" t="s">
        <v>314</v>
      </c>
      <c r="X24" s="41" t="s">
        <v>314</v>
      </c>
      <c r="Y24" s="47"/>
      <c r="Z24" s="49" t="s">
        <v>254</v>
      </c>
      <c r="AA24" s="49"/>
      <c r="AB24" s="49" t="s">
        <v>255</v>
      </c>
      <c r="AC24" s="47"/>
      <c r="AD24" s="49" t="s">
        <v>256</v>
      </c>
      <c r="AE24" s="49"/>
      <c r="AF24" s="49" t="s">
        <v>257</v>
      </c>
      <c r="AG24" s="47"/>
      <c r="AH24" s="49" t="s">
        <v>256</v>
      </c>
      <c r="AI24" s="41" t="s">
        <v>314</v>
      </c>
      <c r="AJ24" s="49" t="s">
        <v>257</v>
      </c>
      <c r="AK24" s="41" t="s">
        <v>314</v>
      </c>
      <c r="AL24" s="41" t="s">
        <v>314</v>
      </c>
      <c r="AM24" s="47"/>
    </row>
    <row r="25" spans="1:39" ht="94.5" x14ac:dyDescent="0.3">
      <c r="A25" s="53" t="str">
        <f>IF('Building Typology'!A26=0," ",'Building Typology'!A26)</f>
        <v>Typical house
(Flat Roof)(Ext. Wall Reno)</v>
      </c>
      <c r="B25" s="44"/>
      <c r="C25" s="41" t="s">
        <v>168</v>
      </c>
      <c r="D25" s="42" t="s">
        <v>129</v>
      </c>
      <c r="E25" s="42" t="s">
        <v>88</v>
      </c>
      <c r="F25" s="42" t="s">
        <v>238</v>
      </c>
      <c r="G25" s="47"/>
      <c r="H25" s="42" t="s">
        <v>169</v>
      </c>
      <c r="I25" s="42" t="s">
        <v>92</v>
      </c>
      <c r="J25" s="47"/>
      <c r="K25" s="42" t="s">
        <v>172</v>
      </c>
      <c r="L25" s="42" t="s">
        <v>173</v>
      </c>
      <c r="M25" s="47"/>
      <c r="N25" s="42" t="s">
        <v>172</v>
      </c>
      <c r="O25" s="42" t="s">
        <v>173</v>
      </c>
      <c r="P25" s="47"/>
      <c r="Q25" s="42" t="s">
        <v>494</v>
      </c>
      <c r="R25" s="42" t="s">
        <v>99</v>
      </c>
      <c r="S25" s="47"/>
      <c r="T25" s="42" t="s">
        <v>170</v>
      </c>
      <c r="U25" s="42" t="s">
        <v>171</v>
      </c>
      <c r="V25" s="47"/>
      <c r="W25" s="42" t="s">
        <v>169</v>
      </c>
      <c r="X25" s="41" t="s">
        <v>314</v>
      </c>
      <c r="Y25" s="47"/>
      <c r="Z25" s="49" t="s">
        <v>254</v>
      </c>
      <c r="AA25" s="49" t="s">
        <v>258</v>
      </c>
      <c r="AB25" s="49" t="s">
        <v>255</v>
      </c>
      <c r="AC25" s="47"/>
      <c r="AD25" s="49" t="s">
        <v>259</v>
      </c>
      <c r="AE25" s="49" t="s">
        <v>260</v>
      </c>
      <c r="AF25" s="49" t="s">
        <v>206</v>
      </c>
      <c r="AG25" s="47"/>
      <c r="AH25" s="49" t="s">
        <v>259</v>
      </c>
      <c r="AI25" s="49" t="s">
        <v>261</v>
      </c>
      <c r="AJ25" s="49" t="s">
        <v>206</v>
      </c>
      <c r="AK25" s="49" t="s">
        <v>262</v>
      </c>
      <c r="AL25" s="50" t="s">
        <v>263</v>
      </c>
      <c r="AM25" s="47"/>
    </row>
    <row r="26" spans="1:39" x14ac:dyDescent="0.3">
      <c r="A26" s="48" t="str">
        <f>IF('Building Typology'!A27=0," ",'Building Typology'!A27)</f>
        <v xml:space="preserve"> </v>
      </c>
      <c r="B26" s="44"/>
      <c r="C26" s="47"/>
      <c r="D26" s="48"/>
      <c r="E26" s="48"/>
      <c r="F26" s="48"/>
      <c r="G26" s="47"/>
      <c r="H26" s="48"/>
      <c r="I26" s="48"/>
      <c r="J26" s="47"/>
      <c r="K26" s="48"/>
      <c r="L26" s="48"/>
      <c r="M26" s="47"/>
      <c r="N26" s="48"/>
      <c r="O26" s="48"/>
      <c r="P26" s="47"/>
      <c r="Q26" s="48"/>
      <c r="R26" s="48"/>
      <c r="S26" s="47"/>
      <c r="T26" s="48"/>
      <c r="U26" s="48"/>
      <c r="V26" s="47"/>
      <c r="W26" s="48"/>
      <c r="X26" s="48"/>
      <c r="Y26" s="47"/>
      <c r="Z26" s="44"/>
      <c r="AA26" s="44"/>
      <c r="AB26" s="44"/>
      <c r="AC26" s="47"/>
      <c r="AD26" s="44"/>
      <c r="AE26" s="44"/>
      <c r="AF26" s="44"/>
      <c r="AG26" s="47"/>
      <c r="AH26" s="44"/>
      <c r="AI26" s="44"/>
      <c r="AJ26" s="44"/>
      <c r="AK26" s="44"/>
      <c r="AL26" s="55"/>
      <c r="AM26" s="47"/>
    </row>
    <row r="27" spans="1:39" ht="19.5" x14ac:dyDescent="0.3">
      <c r="A27" s="64" t="str">
        <f>IF('Building Typology'!A28=0," ",'Building Typology'!A28)</f>
        <v>INSTITUTIONAL</v>
      </c>
      <c r="B27" s="44"/>
      <c r="C27" s="52"/>
      <c r="D27" s="53"/>
      <c r="E27" s="53"/>
      <c r="F27" s="53"/>
      <c r="G27" s="47"/>
      <c r="H27" s="53"/>
      <c r="I27" s="53"/>
      <c r="J27" s="47"/>
      <c r="K27" s="53"/>
      <c r="L27" s="53"/>
      <c r="M27" s="47"/>
      <c r="N27" s="53"/>
      <c r="O27" s="53"/>
      <c r="P27" s="47"/>
      <c r="Q27" s="53"/>
      <c r="R27" s="53"/>
      <c r="S27" s="47"/>
      <c r="T27" s="53"/>
      <c r="U27" s="53"/>
      <c r="V27" s="47"/>
      <c r="W27" s="53"/>
      <c r="X27" s="53"/>
      <c r="Y27" s="47"/>
    </row>
    <row r="28" spans="1:39" ht="47.25" x14ac:dyDescent="0.3">
      <c r="A28" s="53" t="str">
        <f>IF('Building Typology'!A29=0," ",'Building Typology'!A29)</f>
        <v>High water use hospital (inpatient)</v>
      </c>
      <c r="B28" s="44"/>
      <c r="C28" s="41" t="s">
        <v>174</v>
      </c>
      <c r="D28" s="42" t="s">
        <v>129</v>
      </c>
      <c r="E28" s="42" t="s">
        <v>129</v>
      </c>
      <c r="F28" s="42" t="s">
        <v>90</v>
      </c>
      <c r="G28" s="47"/>
      <c r="H28" s="41" t="s">
        <v>174</v>
      </c>
      <c r="I28" s="42" t="s">
        <v>314</v>
      </c>
      <c r="J28" s="47"/>
      <c r="K28" s="41" t="s">
        <v>314</v>
      </c>
      <c r="L28" s="42" t="s">
        <v>314</v>
      </c>
      <c r="M28" s="47"/>
      <c r="N28" s="41" t="s">
        <v>314</v>
      </c>
      <c r="O28" s="42" t="s">
        <v>314</v>
      </c>
      <c r="P28" s="47"/>
      <c r="Q28" s="41" t="s">
        <v>314</v>
      </c>
      <c r="R28" s="42" t="s">
        <v>99</v>
      </c>
      <c r="S28" s="47"/>
      <c r="T28" s="41" t="s">
        <v>175</v>
      </c>
      <c r="U28" s="42" t="s">
        <v>176</v>
      </c>
      <c r="V28" s="47"/>
      <c r="W28" s="41" t="s">
        <v>174</v>
      </c>
      <c r="X28" s="42" t="s">
        <v>314</v>
      </c>
      <c r="Y28" s="47"/>
    </row>
    <row r="29" spans="1:39" ht="47.25" x14ac:dyDescent="0.3">
      <c r="A29" s="53" t="str">
        <f>IF('Building Typology'!A30=0," ",'Building Typology'!A30)</f>
        <v>Low water use hospital (outpatient)</v>
      </c>
      <c r="B29" s="44"/>
      <c r="C29" s="41" t="s">
        <v>177</v>
      </c>
      <c r="D29" s="42" t="s">
        <v>88</v>
      </c>
      <c r="E29" s="42" t="s">
        <v>89</v>
      </c>
      <c r="F29" s="42" t="s">
        <v>90</v>
      </c>
      <c r="G29" s="47"/>
      <c r="H29" s="41" t="s">
        <v>177</v>
      </c>
      <c r="I29" s="42" t="s">
        <v>314</v>
      </c>
      <c r="J29" s="47"/>
      <c r="K29" s="41" t="s">
        <v>314</v>
      </c>
      <c r="L29" s="42" t="s">
        <v>314</v>
      </c>
      <c r="M29" s="47"/>
      <c r="N29" s="41" t="s">
        <v>314</v>
      </c>
      <c r="O29" s="42" t="s">
        <v>314</v>
      </c>
      <c r="P29" s="47"/>
      <c r="Q29" s="41" t="s">
        <v>314</v>
      </c>
      <c r="R29" s="42" t="s">
        <v>99</v>
      </c>
      <c r="S29" s="47"/>
      <c r="T29" s="41" t="s">
        <v>175</v>
      </c>
      <c r="U29" s="42" t="s">
        <v>176</v>
      </c>
      <c r="V29" s="47"/>
      <c r="W29" s="41" t="s">
        <v>177</v>
      </c>
      <c r="X29" s="42" t="s">
        <v>314</v>
      </c>
      <c r="Y29" s="47"/>
    </row>
    <row r="30" spans="1:39" x14ac:dyDescent="0.3">
      <c r="A30" s="53" t="str">
        <f>IF('Building Typology'!A31=0," ",'Building Typology'!A31)</f>
        <v>Assembly &amp; educational</v>
      </c>
      <c r="B30" s="44"/>
      <c r="C30" s="41" t="s">
        <v>314</v>
      </c>
      <c r="D30" s="42" t="s">
        <v>88</v>
      </c>
      <c r="E30" s="42" t="s">
        <v>129</v>
      </c>
      <c r="F30" s="42" t="s">
        <v>90</v>
      </c>
      <c r="G30" s="47"/>
      <c r="H30" s="41" t="s">
        <v>314</v>
      </c>
      <c r="I30" s="41" t="s">
        <v>314</v>
      </c>
      <c r="J30" s="47"/>
      <c r="K30" s="41" t="s">
        <v>314</v>
      </c>
      <c r="L30" s="41" t="s">
        <v>314</v>
      </c>
      <c r="M30" s="47"/>
      <c r="N30" s="41" t="s">
        <v>314</v>
      </c>
      <c r="O30" s="41" t="s">
        <v>314</v>
      </c>
      <c r="P30" s="47"/>
      <c r="Q30" s="41" t="s">
        <v>314</v>
      </c>
      <c r="R30" s="41" t="s">
        <v>314</v>
      </c>
      <c r="S30" s="47"/>
      <c r="T30" s="41" t="s">
        <v>314</v>
      </c>
      <c r="U30" s="41" t="s">
        <v>314</v>
      </c>
      <c r="V30" s="47"/>
      <c r="W30" s="41" t="s">
        <v>314</v>
      </c>
      <c r="X30" s="41" t="s">
        <v>314</v>
      </c>
      <c r="Y30" s="47"/>
    </row>
    <row r="31" spans="1:39" x14ac:dyDescent="0.3">
      <c r="A31" s="48" t="str">
        <f>IF('Building Typology'!A32=0," ",'Building Typology'!A32)</f>
        <v xml:space="preserve"> </v>
      </c>
      <c r="B31" s="44"/>
      <c r="C31" s="48"/>
      <c r="D31" s="48"/>
      <c r="E31" s="48"/>
      <c r="F31" s="48"/>
      <c r="G31" s="48"/>
      <c r="H31" s="48"/>
      <c r="I31" s="48"/>
      <c r="J31" s="48"/>
      <c r="K31" s="48"/>
      <c r="L31" s="48"/>
      <c r="M31" s="48"/>
      <c r="N31" s="48"/>
      <c r="O31" s="48"/>
      <c r="P31" s="48"/>
      <c r="Q31" s="48"/>
      <c r="R31" s="48"/>
      <c r="S31" s="48"/>
      <c r="T31" s="48"/>
      <c r="U31" s="48"/>
      <c r="V31" s="48"/>
      <c r="W31" s="48"/>
      <c r="X31" s="48"/>
      <c r="Y31" s="48"/>
    </row>
  </sheetData>
  <mergeCells count="1">
    <mergeCell ref="A1:A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A104-EFB6-4260-A290-8314D0FEF233}">
  <sheetPr>
    <tabColor theme="7" tint="0.59999389629810485"/>
  </sheetPr>
  <dimension ref="A1:BE32"/>
  <sheetViews>
    <sheetView showGridLines="0" zoomScale="55" zoomScaleNormal="55" workbookViewId="0">
      <pane xSplit="2" ySplit="3" topLeftCell="C4" activePane="bottomRight" state="frozen"/>
      <selection pane="topRight" activeCell="C1" sqref="C1"/>
      <selection pane="bottomLeft" activeCell="A4" sqref="A4"/>
      <selection pane="bottomRight" activeCell="BD1" sqref="C1:BD1048576"/>
    </sheetView>
    <sheetView zoomScaleNormal="100" workbookViewId="1">
      <selection sqref="A1:A2"/>
    </sheetView>
  </sheetViews>
  <sheetFormatPr defaultColWidth="8.77734375" defaultRowHeight="15.75" outlineLevelCol="1" x14ac:dyDescent="0.3"/>
  <cols>
    <col min="1" max="1" width="35.6640625" style="10" customWidth="1"/>
    <col min="2" max="2" width="2.6640625" style="10" customWidth="1"/>
    <col min="3" max="4" width="11.77734375" style="13" customWidth="1" outlineLevel="1"/>
    <col min="5" max="5" width="12.88671875" style="13" customWidth="1" outlineLevel="1"/>
    <col min="6" max="6" width="13.21875" style="13" customWidth="1" outlineLevel="1"/>
    <col min="7" max="9" width="11.77734375" style="13" customWidth="1" outlineLevel="1"/>
    <col min="10" max="10" width="2.6640625" style="10" customWidth="1"/>
    <col min="11" max="12" width="11.77734375" style="10" customWidth="1" outlineLevel="1"/>
    <col min="13" max="16" width="11.77734375" style="13" customWidth="1" outlineLevel="1"/>
    <col min="17" max="18" width="11.77734375" style="10" customWidth="1" outlineLevel="1"/>
    <col min="19" max="19" width="2.6640625" style="10" customWidth="1"/>
    <col min="20" max="21" width="6.77734375" style="10" customWidth="1" outlineLevel="1"/>
    <col min="22" max="23" width="11.77734375" style="10" customWidth="1" outlineLevel="1"/>
    <col min="24" max="27" width="11.77734375" style="13" customWidth="1" outlineLevel="1"/>
    <col min="28" max="29" width="11.77734375" style="10" customWidth="1" outlineLevel="1"/>
    <col min="30" max="30" width="2.6640625" style="10" customWidth="1"/>
    <col min="31" max="32" width="6.77734375" style="10" customWidth="1" outlineLevel="1"/>
    <col min="33" max="34" width="11.77734375" style="10" customWidth="1" outlineLevel="1"/>
    <col min="35" max="37" width="11.77734375" style="13" customWidth="1" outlineLevel="1"/>
    <col min="38" max="38" width="12.44140625" style="13" customWidth="1" outlineLevel="1"/>
    <col min="39" max="39" width="12.21875" style="10" customWidth="1" outlineLevel="1"/>
    <col min="40" max="40" width="11.77734375" style="10" customWidth="1" outlineLevel="1"/>
    <col min="41" max="41" width="2.6640625" style="10" customWidth="1"/>
    <col min="42" max="48" width="11.77734375" style="13" customWidth="1" outlineLevel="1"/>
    <col min="49" max="49" width="2.6640625" style="10" customWidth="1"/>
    <col min="50" max="56" width="11.77734375" style="13" customWidth="1" outlineLevel="1"/>
    <col min="57" max="57" width="2.6640625" style="10" customWidth="1"/>
    <col min="58" max="16384" width="8.77734375" style="10"/>
  </cols>
  <sheetData>
    <row r="1" spans="1:57" ht="57" customHeight="1" x14ac:dyDescent="0.3">
      <c r="A1" s="316" t="s">
        <v>39</v>
      </c>
      <c r="B1" s="9"/>
      <c r="C1" s="61" t="s">
        <v>311</v>
      </c>
      <c r="D1" s="61"/>
      <c r="E1" s="61"/>
      <c r="F1" s="61"/>
      <c r="G1" s="61"/>
      <c r="H1" s="61"/>
      <c r="I1" s="61"/>
      <c r="J1" s="9"/>
      <c r="K1" s="61" t="s">
        <v>77</v>
      </c>
      <c r="L1" s="61"/>
      <c r="M1" s="61"/>
      <c r="N1" s="61"/>
      <c r="O1" s="61"/>
      <c r="P1" s="61"/>
      <c r="Q1" s="61"/>
      <c r="R1" s="61"/>
      <c r="S1" s="9"/>
      <c r="T1" s="61" t="s">
        <v>78</v>
      </c>
      <c r="U1" s="61"/>
      <c r="V1" s="61"/>
      <c r="W1" s="61"/>
      <c r="X1" s="61"/>
      <c r="Y1" s="61"/>
      <c r="Z1" s="61"/>
      <c r="AA1" s="61"/>
      <c r="AB1" s="61"/>
      <c r="AC1" s="61"/>
      <c r="AD1" s="9"/>
      <c r="AE1" s="61" t="s">
        <v>79</v>
      </c>
      <c r="AF1" s="61"/>
      <c r="AG1" s="61"/>
      <c r="AH1" s="61"/>
      <c r="AI1" s="61"/>
      <c r="AJ1" s="61"/>
      <c r="AK1" s="61"/>
      <c r="AL1" s="61"/>
      <c r="AM1" s="61"/>
      <c r="AN1" s="61"/>
      <c r="AO1" s="9"/>
      <c r="AP1" s="61" t="s">
        <v>76</v>
      </c>
      <c r="AQ1" s="61"/>
      <c r="AR1" s="61"/>
      <c r="AS1" s="61"/>
      <c r="AT1" s="61"/>
      <c r="AU1" s="61"/>
      <c r="AV1" s="61"/>
      <c r="AW1" s="9"/>
      <c r="AX1" s="61" t="s">
        <v>75</v>
      </c>
      <c r="AY1" s="61"/>
      <c r="AZ1" s="61"/>
      <c r="BA1" s="61"/>
      <c r="BB1" s="61"/>
      <c r="BC1" s="61"/>
      <c r="BD1" s="61"/>
      <c r="BE1" s="9"/>
    </row>
    <row r="2" spans="1:57" s="8" customFormat="1" ht="47.25" x14ac:dyDescent="0.3">
      <c r="A2" s="316"/>
      <c r="B2" s="9"/>
      <c r="C2" s="214" t="s">
        <v>340</v>
      </c>
      <c r="D2" s="214" t="s">
        <v>341</v>
      </c>
      <c r="E2" s="214" t="s">
        <v>342</v>
      </c>
      <c r="F2" s="214" t="s">
        <v>343</v>
      </c>
      <c r="G2" s="214" t="s">
        <v>352</v>
      </c>
      <c r="H2" s="214" t="s">
        <v>178</v>
      </c>
      <c r="I2" s="214" t="s">
        <v>179</v>
      </c>
      <c r="J2" s="213"/>
      <c r="K2" s="214" t="s">
        <v>360</v>
      </c>
      <c r="L2" s="214" t="s">
        <v>361</v>
      </c>
      <c r="M2" s="214" t="s">
        <v>340</v>
      </c>
      <c r="N2" s="214" t="s">
        <v>341</v>
      </c>
      <c r="O2" s="214" t="s">
        <v>342</v>
      </c>
      <c r="P2" s="214" t="s">
        <v>343</v>
      </c>
      <c r="Q2" s="214" t="s">
        <v>178</v>
      </c>
      <c r="R2" s="214" t="s">
        <v>179</v>
      </c>
      <c r="S2" s="213"/>
      <c r="T2" s="214" t="s">
        <v>312</v>
      </c>
      <c r="U2" s="214" t="s">
        <v>313</v>
      </c>
      <c r="V2" s="214" t="s">
        <v>360</v>
      </c>
      <c r="W2" s="214" t="s">
        <v>182</v>
      </c>
      <c r="X2" s="214" t="s">
        <v>340</v>
      </c>
      <c r="Y2" s="214" t="s">
        <v>341</v>
      </c>
      <c r="Z2" s="214" t="s">
        <v>342</v>
      </c>
      <c r="AA2" s="214" t="s">
        <v>343</v>
      </c>
      <c r="AB2" s="214" t="s">
        <v>178</v>
      </c>
      <c r="AC2" s="214" t="s">
        <v>179</v>
      </c>
      <c r="AD2" s="213"/>
      <c r="AE2" s="214" t="s">
        <v>372</v>
      </c>
      <c r="AF2" s="214" t="s">
        <v>313</v>
      </c>
      <c r="AG2" s="214" t="s">
        <v>359</v>
      </c>
      <c r="AH2" s="214" t="s">
        <v>361</v>
      </c>
      <c r="AI2" s="214" t="s">
        <v>340</v>
      </c>
      <c r="AJ2" s="214" t="s">
        <v>341</v>
      </c>
      <c r="AK2" s="214" t="s">
        <v>342</v>
      </c>
      <c r="AL2" s="214" t="s">
        <v>343</v>
      </c>
      <c r="AM2" s="214" t="s">
        <v>363</v>
      </c>
      <c r="AN2" s="214" t="s">
        <v>179</v>
      </c>
      <c r="AO2" s="213"/>
      <c r="AP2" s="214" t="s">
        <v>340</v>
      </c>
      <c r="AQ2" s="214" t="s">
        <v>341</v>
      </c>
      <c r="AR2" s="214" t="s">
        <v>342</v>
      </c>
      <c r="AS2" s="214" t="s">
        <v>343</v>
      </c>
      <c r="AT2" s="214" t="s">
        <v>352</v>
      </c>
      <c r="AU2" s="214" t="s">
        <v>178</v>
      </c>
      <c r="AV2" s="214" t="s">
        <v>179</v>
      </c>
      <c r="AW2" s="213"/>
      <c r="AX2" s="214" t="s">
        <v>340</v>
      </c>
      <c r="AY2" s="214" t="s">
        <v>341</v>
      </c>
      <c r="AZ2" s="214" t="s">
        <v>342</v>
      </c>
      <c r="BA2" s="214" t="s">
        <v>343</v>
      </c>
      <c r="BB2" s="214" t="s">
        <v>352</v>
      </c>
      <c r="BC2" s="214" t="s">
        <v>178</v>
      </c>
      <c r="BD2" s="214" t="s">
        <v>179</v>
      </c>
      <c r="BE2" s="213"/>
    </row>
    <row r="3" spans="1:57" s="8" customFormat="1" x14ac:dyDescent="0.3">
      <c r="A3" s="20" t="s">
        <v>15</v>
      </c>
      <c r="B3" s="20"/>
      <c r="C3" s="215" t="s">
        <v>339</v>
      </c>
      <c r="D3" s="215" t="s">
        <v>339</v>
      </c>
      <c r="E3" s="215" t="s">
        <v>344</v>
      </c>
      <c r="F3" s="215" t="s">
        <v>345</v>
      </c>
      <c r="G3" s="215" t="s">
        <v>345</v>
      </c>
      <c r="H3" s="215" t="s">
        <v>184</v>
      </c>
      <c r="I3" s="215" t="s">
        <v>184</v>
      </c>
      <c r="J3" s="213"/>
      <c r="K3" s="215" t="s">
        <v>65</v>
      </c>
      <c r="L3" s="215" t="s">
        <v>362</v>
      </c>
      <c r="M3" s="215" t="s">
        <v>345</v>
      </c>
      <c r="N3" s="215" t="s">
        <v>345</v>
      </c>
      <c r="O3" s="215" t="s">
        <v>344</v>
      </c>
      <c r="P3" s="215" t="s">
        <v>345</v>
      </c>
      <c r="Q3" s="215" t="s">
        <v>495</v>
      </c>
      <c r="R3" s="215" t="s">
        <v>495</v>
      </c>
      <c r="S3" s="213"/>
      <c r="T3" s="215" t="s">
        <v>53</v>
      </c>
      <c r="U3" s="215" t="s">
        <v>53</v>
      </c>
      <c r="V3" s="215" t="s">
        <v>65</v>
      </c>
      <c r="W3" s="215" t="s">
        <v>362</v>
      </c>
      <c r="X3" s="215" t="s">
        <v>345</v>
      </c>
      <c r="Y3" s="215" t="s">
        <v>345</v>
      </c>
      <c r="Z3" s="215" t="s">
        <v>344</v>
      </c>
      <c r="AA3" s="215" t="s">
        <v>345</v>
      </c>
      <c r="AB3" s="215" t="s">
        <v>495</v>
      </c>
      <c r="AC3" s="215" t="s">
        <v>495</v>
      </c>
      <c r="AD3" s="213"/>
      <c r="AE3" s="215" t="s">
        <v>53</v>
      </c>
      <c r="AF3" s="215" t="s">
        <v>53</v>
      </c>
      <c r="AG3" s="215" t="s">
        <v>65</v>
      </c>
      <c r="AH3" s="215" t="s">
        <v>362</v>
      </c>
      <c r="AI3" s="215" t="s">
        <v>345</v>
      </c>
      <c r="AJ3" s="215" t="s">
        <v>345</v>
      </c>
      <c r="AK3" s="215" t="s">
        <v>344</v>
      </c>
      <c r="AL3" s="215" t="s">
        <v>345</v>
      </c>
      <c r="AM3" s="215" t="s">
        <v>345</v>
      </c>
      <c r="AN3" s="215" t="s">
        <v>495</v>
      </c>
      <c r="AO3" s="213"/>
      <c r="AP3" s="215" t="s">
        <v>339</v>
      </c>
      <c r="AQ3" s="215" t="s">
        <v>339</v>
      </c>
      <c r="AR3" s="215" t="s">
        <v>344</v>
      </c>
      <c r="AS3" s="215" t="s">
        <v>345</v>
      </c>
      <c r="AT3" s="215" t="s">
        <v>345</v>
      </c>
      <c r="AU3" s="215" t="s">
        <v>495</v>
      </c>
      <c r="AV3" s="215" t="s">
        <v>495</v>
      </c>
      <c r="AW3" s="213"/>
      <c r="AX3" s="215" t="s">
        <v>339</v>
      </c>
      <c r="AY3" s="215" t="s">
        <v>339</v>
      </c>
      <c r="AZ3" s="215" t="s">
        <v>344</v>
      </c>
      <c r="BA3" s="215" t="s">
        <v>345</v>
      </c>
      <c r="BB3" s="215" t="s">
        <v>345</v>
      </c>
      <c r="BC3" s="215" t="s">
        <v>495</v>
      </c>
      <c r="BD3" s="215" t="s">
        <v>495</v>
      </c>
      <c r="BE3" s="213"/>
    </row>
    <row r="4" spans="1:57" ht="20.25" customHeight="1" x14ac:dyDescent="0.3">
      <c r="A4" s="98" t="str">
        <f>IF('Building Typology'!A4=0," ",'Building Typology'!A4)</f>
        <v>OFFICE</v>
      </c>
      <c r="B4" s="44"/>
      <c r="C4" s="100"/>
      <c r="D4" s="100"/>
      <c r="E4" s="100"/>
      <c r="F4" s="100"/>
      <c r="G4" s="100"/>
      <c r="H4" s="100"/>
      <c r="I4" s="100"/>
      <c r="J4" s="44"/>
      <c r="K4" s="46"/>
      <c r="L4" s="46"/>
      <c r="M4" s="100"/>
      <c r="N4" s="100"/>
      <c r="O4" s="100"/>
      <c r="P4" s="100"/>
      <c r="Q4" s="100"/>
      <c r="R4" s="100"/>
      <c r="S4" s="44"/>
      <c r="T4" s="46"/>
      <c r="U4" s="46"/>
      <c r="V4" s="46"/>
      <c r="W4" s="46"/>
      <c r="X4" s="100"/>
      <c r="Y4" s="100"/>
      <c r="Z4" s="100"/>
      <c r="AA4" s="100"/>
      <c r="AB4" s="100"/>
      <c r="AC4" s="100"/>
      <c r="AD4" s="44"/>
      <c r="AE4" s="46"/>
      <c r="AF4" s="46"/>
      <c r="AG4" s="46"/>
      <c r="AH4" s="46"/>
      <c r="AI4" s="100"/>
      <c r="AJ4" s="100"/>
      <c r="AK4" s="100"/>
      <c r="AL4" s="100"/>
      <c r="AM4" s="100"/>
      <c r="AN4" s="100"/>
      <c r="AO4" s="44"/>
      <c r="AP4" s="100"/>
      <c r="AQ4" s="100"/>
      <c r="AR4" s="100"/>
      <c r="AS4" s="100"/>
      <c r="AT4" s="100"/>
      <c r="AU4" s="100"/>
      <c r="AV4" s="100"/>
      <c r="AW4" s="44"/>
      <c r="AX4" s="100"/>
      <c r="AY4" s="100"/>
      <c r="AZ4" s="100"/>
      <c r="BA4" s="100"/>
      <c r="BB4" s="100"/>
      <c r="BC4" s="100"/>
      <c r="BD4" s="100"/>
      <c r="BE4" s="44"/>
    </row>
    <row r="5" spans="1:57" x14ac:dyDescent="0.3">
      <c r="A5" s="46" t="str">
        <f>IF('Building Typology'!A5=0," ",'Building Typology'!A5)</f>
        <v>Class 'A' - gas boiler</v>
      </c>
      <c r="B5" s="44"/>
      <c r="C5" s="101">
        <v>57.5</v>
      </c>
      <c r="D5" s="101">
        <v>105.88970255967638</v>
      </c>
      <c r="E5" s="101">
        <v>0</v>
      </c>
      <c r="F5" s="101">
        <v>0</v>
      </c>
      <c r="G5" s="101">
        <v>3000</v>
      </c>
      <c r="H5" s="101">
        <v>0</v>
      </c>
      <c r="I5" s="101">
        <v>0</v>
      </c>
      <c r="J5" s="44"/>
      <c r="K5" s="72">
        <f>MAX('Building Typology'!$AO5,'Building Typology'!$AW5)</f>
        <v>771.93308850000005</v>
      </c>
      <c r="L5" s="72">
        <f>('Building Typology'!$AR5*0.2928)/3.514</f>
        <v>30.994802097848613</v>
      </c>
      <c r="M5" s="101">
        <v>7000</v>
      </c>
      <c r="N5" s="101">
        <v>11200</v>
      </c>
      <c r="O5" s="101">
        <v>0</v>
      </c>
      <c r="P5" s="101">
        <v>0</v>
      </c>
      <c r="Q5" s="101">
        <v>1200000</v>
      </c>
      <c r="R5" s="101">
        <v>750000</v>
      </c>
      <c r="S5" s="44"/>
      <c r="T5" s="105">
        <f>0.8*0.7</f>
        <v>0.55999999999999994</v>
      </c>
      <c r="U5" s="105">
        <v>2</v>
      </c>
      <c r="V5" s="72">
        <f>'FS - Unitary Capital'!K5*T5</f>
        <v>432.28252956</v>
      </c>
      <c r="W5" s="72">
        <f>'FS - Unitary Capital'!L5*U5</f>
        <v>61.989604195697225</v>
      </c>
      <c r="X5" s="101">
        <v>6999.9999999999991</v>
      </c>
      <c r="Y5" s="101">
        <v>689.79307990109771</v>
      </c>
      <c r="Z5" s="101">
        <v>0</v>
      </c>
      <c r="AA5" s="101">
        <v>0</v>
      </c>
      <c r="AB5" s="101">
        <v>770000</v>
      </c>
      <c r="AC5" s="101">
        <v>750000</v>
      </c>
      <c r="AD5" s="44"/>
      <c r="AE5" s="105">
        <v>1</v>
      </c>
      <c r="AF5" s="105">
        <v>1</v>
      </c>
      <c r="AG5" s="72">
        <f>MAX('Building Typology'!$AO5,'Building Typology'!$AW5)*AE5</f>
        <v>771.93308850000005</v>
      </c>
      <c r="AH5" s="72">
        <f>(('Building Typology'!$AR5*0.2928)/3.514)*AF5</f>
        <v>30.994802097848613</v>
      </c>
      <c r="AI5" s="101">
        <v>7500</v>
      </c>
      <c r="AJ5" s="101">
        <v>6300</v>
      </c>
      <c r="AK5" s="101">
        <v>0</v>
      </c>
      <c r="AL5" s="101">
        <v>0</v>
      </c>
      <c r="AM5" s="101">
        <v>3300</v>
      </c>
      <c r="AN5" s="101">
        <v>300000</v>
      </c>
      <c r="AO5" s="44"/>
      <c r="AP5" s="101">
        <v>29.282576866764273</v>
      </c>
      <c r="AQ5" s="101">
        <v>58.565153733528547</v>
      </c>
      <c r="AR5" s="106">
        <v>0</v>
      </c>
      <c r="AS5" s="101">
        <v>0</v>
      </c>
      <c r="AT5" s="101">
        <v>3000</v>
      </c>
      <c r="AU5" s="101">
        <v>0</v>
      </c>
      <c r="AV5" s="101">
        <v>1500000</v>
      </c>
      <c r="AW5" s="44"/>
      <c r="AX5" s="101">
        <v>57.5</v>
      </c>
      <c r="AY5" s="101">
        <v>57.499999999999993</v>
      </c>
      <c r="AZ5" s="101">
        <v>0</v>
      </c>
      <c r="BA5" s="101">
        <v>0</v>
      </c>
      <c r="BB5" s="101">
        <v>3000</v>
      </c>
      <c r="BC5" s="101">
        <v>0</v>
      </c>
      <c r="BD5" s="101">
        <v>0</v>
      </c>
      <c r="BE5" s="44"/>
    </row>
    <row r="6" spans="1:57" x14ac:dyDescent="0.3">
      <c r="A6" s="46" t="str">
        <f>IF('Building Typology'!A6=0," ",'Building Typology'!A6)</f>
        <v>Class 'A' - district heating/ cooling</v>
      </c>
      <c r="B6" s="44"/>
      <c r="C6" s="101">
        <v>24.615037304493008</v>
      </c>
      <c r="D6" s="101">
        <v>140.97425639919095</v>
      </c>
      <c r="E6" s="101">
        <v>0</v>
      </c>
      <c r="F6" s="101">
        <v>0</v>
      </c>
      <c r="G6" s="101">
        <v>240</v>
      </c>
      <c r="H6" s="101">
        <v>0</v>
      </c>
      <c r="I6" s="101">
        <v>0</v>
      </c>
      <c r="J6" s="44"/>
      <c r="K6" s="72">
        <f>MAX('Building Typology'!$AO6,'Building Typology'!$AW6)</f>
        <v>771.93308850000005</v>
      </c>
      <c r="L6" s="72">
        <f>('Building Typology'!$AR6*0.2928)/3.514</f>
        <v>30.994802097848613</v>
      </c>
      <c r="M6" s="101">
        <v>7000</v>
      </c>
      <c r="N6" s="101">
        <v>11200</v>
      </c>
      <c r="O6" s="101">
        <v>0</v>
      </c>
      <c r="P6" s="101">
        <v>0</v>
      </c>
      <c r="Q6" s="101">
        <v>840000</v>
      </c>
      <c r="R6" s="101">
        <v>750000</v>
      </c>
      <c r="S6" s="44"/>
      <c r="T6" s="105">
        <f>0.8*0.7</f>
        <v>0.55999999999999994</v>
      </c>
      <c r="U6" s="105">
        <v>2</v>
      </c>
      <c r="V6" s="72">
        <f>'FS - Unitary Capital'!K6*T6</f>
        <v>432.28252956</v>
      </c>
      <c r="W6" s="72">
        <f>'FS - Unitary Capital'!L6*U6</f>
        <v>61.989604195697225</v>
      </c>
      <c r="X6" s="101">
        <v>6999.9999999999991</v>
      </c>
      <c r="Y6" s="101">
        <v>689.79307990109771</v>
      </c>
      <c r="Z6" s="101">
        <v>0</v>
      </c>
      <c r="AA6" s="101">
        <v>0</v>
      </c>
      <c r="AB6" s="101">
        <f>AB5*0.7</f>
        <v>539000</v>
      </c>
      <c r="AC6" s="101">
        <v>750000</v>
      </c>
      <c r="AD6" s="44"/>
      <c r="AE6" s="105">
        <v>1</v>
      </c>
      <c r="AF6" s="105">
        <v>1</v>
      </c>
      <c r="AG6" s="72">
        <f>MAX('Building Typology'!$AO6,'Building Typology'!$AW6)*AE6</f>
        <v>771.93308850000005</v>
      </c>
      <c r="AH6" s="72">
        <f>(('Building Typology'!$AR6*0.2928)/3.514)*AF6</f>
        <v>30.994802097848613</v>
      </c>
      <c r="AI6" s="101">
        <v>7500</v>
      </c>
      <c r="AJ6" s="101">
        <v>6300</v>
      </c>
      <c r="AK6" s="101">
        <v>0</v>
      </c>
      <c r="AL6" s="101">
        <v>0</v>
      </c>
      <c r="AM6" s="101">
        <v>3300</v>
      </c>
      <c r="AN6" s="101">
        <v>300000</v>
      </c>
      <c r="AO6" s="44"/>
      <c r="AP6" s="101">
        <v>29.282576866764273</v>
      </c>
      <c r="AQ6" s="101">
        <v>58.565153733528547</v>
      </c>
      <c r="AR6" s="106">
        <v>0</v>
      </c>
      <c r="AS6" s="101">
        <v>0</v>
      </c>
      <c r="AT6" s="101">
        <v>240</v>
      </c>
      <c r="AU6" s="101">
        <v>0</v>
      </c>
      <c r="AV6" s="101">
        <v>1500000</v>
      </c>
      <c r="AW6" s="44"/>
      <c r="AX6" s="101">
        <v>20</v>
      </c>
      <c r="AY6" s="101">
        <v>20</v>
      </c>
      <c r="AZ6" s="101">
        <v>0</v>
      </c>
      <c r="BA6" s="101">
        <v>0</v>
      </c>
      <c r="BB6" s="101">
        <v>240</v>
      </c>
      <c r="BC6" s="101">
        <v>0</v>
      </c>
      <c r="BD6" s="101"/>
      <c r="BE6" s="44"/>
    </row>
    <row r="7" spans="1:57" x14ac:dyDescent="0.3">
      <c r="A7" s="46" t="str">
        <f>IF('Building Typology'!A7=0," ",'Building Typology'!A7)</f>
        <v>Class 'A' - electric</v>
      </c>
      <c r="B7" s="44"/>
      <c r="C7" s="101">
        <v>0</v>
      </c>
      <c r="D7" s="101">
        <v>0</v>
      </c>
      <c r="E7" s="101">
        <v>15</v>
      </c>
      <c r="F7" s="101">
        <v>0</v>
      </c>
      <c r="G7" s="101">
        <v>0</v>
      </c>
      <c r="H7" s="101">
        <v>0</v>
      </c>
      <c r="I7" s="101">
        <v>0</v>
      </c>
      <c r="J7" s="44"/>
      <c r="K7" s="72">
        <f>MAX('Building Typology'!$AO7,'Building Typology'!$AW7)</f>
        <v>771.93308850000005</v>
      </c>
      <c r="L7" s="72">
        <f>('Building Typology'!$AR7*0.2928)/3.514</f>
        <v>30.994802097848613</v>
      </c>
      <c r="M7" s="101">
        <v>0</v>
      </c>
      <c r="N7" s="101">
        <v>11200</v>
      </c>
      <c r="O7" s="101">
        <v>20</v>
      </c>
      <c r="P7" s="101">
        <v>0</v>
      </c>
      <c r="Q7" s="101">
        <v>0</v>
      </c>
      <c r="R7" s="101">
        <v>250000</v>
      </c>
      <c r="S7" s="44"/>
      <c r="T7" s="105">
        <f>0.8*0.7</f>
        <v>0.55999999999999994</v>
      </c>
      <c r="U7" s="105">
        <v>2</v>
      </c>
      <c r="V7" s="72">
        <f>'FS - Unitary Capital'!K7*T7</f>
        <v>432.28252956</v>
      </c>
      <c r="W7" s="72">
        <f>'FS - Unitary Capital'!L7*U7</f>
        <v>61.989604195697225</v>
      </c>
      <c r="X7" s="101">
        <v>0</v>
      </c>
      <c r="Y7" s="101">
        <v>0</v>
      </c>
      <c r="Z7" s="101">
        <v>20</v>
      </c>
      <c r="AA7" s="101">
        <v>0</v>
      </c>
      <c r="AB7" s="101">
        <v>0</v>
      </c>
      <c r="AC7" s="101">
        <v>250000</v>
      </c>
      <c r="AD7" s="44"/>
      <c r="AE7" s="105">
        <v>1</v>
      </c>
      <c r="AF7" s="105">
        <v>1</v>
      </c>
      <c r="AG7" s="72">
        <f>MAX('Building Typology'!$AO7,'Building Typology'!$AW7)*AE7</f>
        <v>771.93308850000005</v>
      </c>
      <c r="AH7" s="72">
        <f>(('Building Typology'!$AR7*0.2928)/3.514)*AF7</f>
        <v>30.994802097848613</v>
      </c>
      <c r="AI7" s="101">
        <v>0</v>
      </c>
      <c r="AJ7" s="101">
        <v>6300</v>
      </c>
      <c r="AK7" s="101">
        <v>15</v>
      </c>
      <c r="AL7" s="101">
        <v>0</v>
      </c>
      <c r="AM7" s="101">
        <v>3300</v>
      </c>
      <c r="AN7" s="101">
        <v>125000</v>
      </c>
      <c r="AO7" s="44"/>
      <c r="AP7" s="101">
        <v>0</v>
      </c>
      <c r="AQ7" s="101">
        <v>0</v>
      </c>
      <c r="AR7" s="101">
        <v>15</v>
      </c>
      <c r="AS7" s="101">
        <v>0</v>
      </c>
      <c r="AT7" s="101">
        <v>0</v>
      </c>
      <c r="AU7" s="101">
        <v>0</v>
      </c>
      <c r="AV7" s="101">
        <v>400000</v>
      </c>
      <c r="AW7" s="44"/>
      <c r="AX7" s="101">
        <v>0</v>
      </c>
      <c r="AY7" s="101">
        <v>0</v>
      </c>
      <c r="AZ7" s="101">
        <v>15</v>
      </c>
      <c r="BA7" s="101">
        <v>0</v>
      </c>
      <c r="BB7" s="101">
        <v>0</v>
      </c>
      <c r="BC7" s="101">
        <v>0</v>
      </c>
      <c r="BD7" s="101"/>
      <c r="BE7" s="44"/>
    </row>
    <row r="8" spans="1:57" x14ac:dyDescent="0.3">
      <c r="A8" s="46" t="str">
        <f>IF('Building Typology'!A8=0," ",'Building Typology'!A8)</f>
        <v>Class 'B' &amp; 'C' - rooftop units</v>
      </c>
      <c r="B8" s="44"/>
      <c r="C8" s="101">
        <v>21.161454944844319</v>
      </c>
      <c r="D8" s="101">
        <v>0</v>
      </c>
      <c r="E8" s="101">
        <v>0</v>
      </c>
      <c r="F8" s="101">
        <v>2200</v>
      </c>
      <c r="G8" s="101">
        <v>0</v>
      </c>
      <c r="H8" s="101">
        <v>0</v>
      </c>
      <c r="I8" s="101">
        <v>0</v>
      </c>
      <c r="J8" s="44"/>
      <c r="K8" s="72">
        <f>MAX('Building Typology'!$AO8,'Building Typology'!$AW8)</f>
        <v>113.21685298</v>
      </c>
      <c r="L8" s="72">
        <f>('Building Typology'!$AR8*0.2928)/3.514</f>
        <v>3.6019443555824702</v>
      </c>
      <c r="M8" s="101">
        <v>8000</v>
      </c>
      <c r="N8" s="101">
        <v>2221.0226506140239</v>
      </c>
      <c r="O8" s="101">
        <v>20</v>
      </c>
      <c r="P8" s="101">
        <v>0</v>
      </c>
      <c r="Q8" s="101">
        <v>0</v>
      </c>
      <c r="R8" s="101">
        <v>400000</v>
      </c>
      <c r="S8" s="44"/>
      <c r="T8" s="105">
        <v>1</v>
      </c>
      <c r="U8" s="105">
        <v>0.5</v>
      </c>
      <c r="V8" s="72">
        <f>'FS - Unitary Capital'!K8*T8</f>
        <v>113.21685298</v>
      </c>
      <c r="W8" s="72">
        <f>'FS - Unitary Capital'!L8*U8</f>
        <v>1.8009721777912351</v>
      </c>
      <c r="X8" s="101">
        <v>0</v>
      </c>
      <c r="Y8" s="101">
        <v>3331.533975921036</v>
      </c>
      <c r="Z8" s="101">
        <v>20</v>
      </c>
      <c r="AA8" s="101">
        <v>5500</v>
      </c>
      <c r="AB8" s="101">
        <v>0</v>
      </c>
      <c r="AC8" s="101">
        <v>400000</v>
      </c>
      <c r="AD8" s="44"/>
      <c r="AE8" s="105">
        <v>1</v>
      </c>
      <c r="AF8" s="105">
        <v>1</v>
      </c>
      <c r="AG8" s="72">
        <f>MAX('Building Typology'!$AO8,'Building Typology'!$AW8)*AE8</f>
        <v>113.21685298</v>
      </c>
      <c r="AH8" s="72">
        <f>(('Building Typology'!$AR8*0.2928)/3.514)*AF8</f>
        <v>3.6019443555824702</v>
      </c>
      <c r="AI8" s="101">
        <v>7200</v>
      </c>
      <c r="AJ8" s="101">
        <v>6300</v>
      </c>
      <c r="AK8" s="101">
        <v>15</v>
      </c>
      <c r="AL8" s="101">
        <v>0</v>
      </c>
      <c r="AM8" s="101">
        <v>3300</v>
      </c>
      <c r="AN8" s="101">
        <v>50000</v>
      </c>
      <c r="AO8" s="44"/>
      <c r="AP8" s="101">
        <v>33.122277304973721</v>
      </c>
      <c r="AQ8" s="101">
        <v>58.565153733528554</v>
      </c>
      <c r="AR8" s="106">
        <v>0</v>
      </c>
      <c r="AS8" s="101">
        <v>2200</v>
      </c>
      <c r="AT8" s="101">
        <v>0</v>
      </c>
      <c r="AU8" s="101">
        <v>0</v>
      </c>
      <c r="AV8" s="101">
        <v>500000</v>
      </c>
      <c r="AW8" s="44"/>
      <c r="AX8" s="101">
        <v>42.322909889688638</v>
      </c>
      <c r="AY8" s="101">
        <v>0</v>
      </c>
      <c r="AZ8" s="101">
        <v>0</v>
      </c>
      <c r="BA8" s="101">
        <v>2200</v>
      </c>
      <c r="BB8" s="101">
        <v>0</v>
      </c>
      <c r="BC8" s="101">
        <v>0</v>
      </c>
      <c r="BD8" s="101">
        <v>0</v>
      </c>
      <c r="BE8" s="44"/>
    </row>
    <row r="9" spans="1:57" x14ac:dyDescent="0.3">
      <c r="A9" s="46" t="str">
        <f>IF('Building Typology'!A9=0," ",'Building Typology'!A9)</f>
        <v>Class 'B' &amp; 'C' - electric</v>
      </c>
      <c r="B9" s="44"/>
      <c r="C9" s="101">
        <v>0</v>
      </c>
      <c r="D9" s="101">
        <v>0</v>
      </c>
      <c r="E9" s="101">
        <v>15</v>
      </c>
      <c r="F9" s="101">
        <v>0</v>
      </c>
      <c r="G9" s="101">
        <v>0</v>
      </c>
      <c r="H9" s="101">
        <v>0</v>
      </c>
      <c r="I9" s="101">
        <v>0</v>
      </c>
      <c r="J9" s="44"/>
      <c r="K9" s="72">
        <f>MAX('Building Typology'!$AO9,'Building Typology'!$AW9)</f>
        <v>113.21685298</v>
      </c>
      <c r="L9" s="72">
        <f>('Building Typology'!$AR9*0.2928)/3.514</f>
        <v>3.6019443555824702</v>
      </c>
      <c r="M9" s="101">
        <v>0</v>
      </c>
      <c r="N9" s="101">
        <v>2221.0226506140239</v>
      </c>
      <c r="O9" s="101">
        <v>20</v>
      </c>
      <c r="P9" s="101">
        <v>0</v>
      </c>
      <c r="Q9" s="101">
        <v>0</v>
      </c>
      <c r="R9" s="101">
        <v>150000</v>
      </c>
      <c r="S9" s="44"/>
      <c r="T9" s="105">
        <f>0.8*0.7</f>
        <v>0.55999999999999994</v>
      </c>
      <c r="U9" s="105">
        <v>0.5</v>
      </c>
      <c r="V9" s="72">
        <f>'FS - Unitary Capital'!K9*T9</f>
        <v>63.401437668799993</v>
      </c>
      <c r="W9" s="72">
        <f>'FS - Unitary Capital'!L9*U9</f>
        <v>1.8009721777912351</v>
      </c>
      <c r="X9" s="101">
        <v>0</v>
      </c>
      <c r="Y9" s="101">
        <v>3331.533975921036</v>
      </c>
      <c r="Z9" s="101">
        <v>20</v>
      </c>
      <c r="AA9" s="101">
        <v>0</v>
      </c>
      <c r="AB9" s="101">
        <v>0</v>
      </c>
      <c r="AC9" s="101">
        <v>150000</v>
      </c>
      <c r="AD9" s="44"/>
      <c r="AE9" s="105">
        <v>1</v>
      </c>
      <c r="AF9" s="105">
        <v>1</v>
      </c>
      <c r="AG9" s="72">
        <f>MAX('Building Typology'!$AO9,'Building Typology'!$AW9)*AE9</f>
        <v>113.21685298</v>
      </c>
      <c r="AH9" s="72">
        <f>(('Building Typology'!$AR9*0.2928)/3.514)*AF9</f>
        <v>3.6019443555824702</v>
      </c>
      <c r="AI9" s="101">
        <v>0</v>
      </c>
      <c r="AJ9" s="101">
        <v>6300</v>
      </c>
      <c r="AK9" s="101">
        <v>15</v>
      </c>
      <c r="AL9" s="101">
        <v>0</v>
      </c>
      <c r="AM9" s="101">
        <v>3300</v>
      </c>
      <c r="AN9" s="101">
        <v>50000</v>
      </c>
      <c r="AO9" s="44"/>
      <c r="AP9" s="101">
        <v>0</v>
      </c>
      <c r="AQ9" s="101">
        <v>58.565153733528554</v>
      </c>
      <c r="AR9" s="101">
        <v>15</v>
      </c>
      <c r="AS9" s="101">
        <v>0</v>
      </c>
      <c r="AT9" s="101">
        <v>0</v>
      </c>
      <c r="AU9" s="101">
        <v>0</v>
      </c>
      <c r="AV9" s="101">
        <v>75000</v>
      </c>
      <c r="AW9" s="44"/>
      <c r="AX9" s="101">
        <v>0</v>
      </c>
      <c r="AY9" s="101">
        <v>0</v>
      </c>
      <c r="AZ9" s="101">
        <v>15</v>
      </c>
      <c r="BA9" s="101">
        <v>0</v>
      </c>
      <c r="BB9" s="101">
        <v>0</v>
      </c>
      <c r="BC9" s="101">
        <v>0</v>
      </c>
      <c r="BD9" s="101">
        <v>0</v>
      </c>
      <c r="BE9" s="44"/>
    </row>
    <row r="10" spans="1:57" x14ac:dyDescent="0.3">
      <c r="A10" s="44" t="str">
        <f>IF('Building Typology'!A10=0," ",'Building Typology'!A10)</f>
        <v xml:space="preserve"> </v>
      </c>
      <c r="B10" s="44"/>
      <c r="C10" s="108"/>
      <c r="D10" s="108"/>
      <c r="E10" s="108"/>
      <c r="F10" s="108"/>
      <c r="G10" s="108"/>
      <c r="H10" s="108"/>
      <c r="I10" s="108"/>
      <c r="J10" s="44"/>
      <c r="K10" s="44"/>
      <c r="L10" s="44"/>
      <c r="M10" s="44"/>
      <c r="N10" s="44"/>
      <c r="O10" s="108"/>
      <c r="P10" s="108"/>
      <c r="Q10" s="108"/>
      <c r="R10" s="108"/>
      <c r="S10" s="44"/>
      <c r="T10" s="44"/>
      <c r="U10" s="44"/>
      <c r="V10" s="44"/>
      <c r="W10" s="44"/>
      <c r="X10" s="44"/>
      <c r="Y10" s="44"/>
      <c r="Z10" s="108"/>
      <c r="AA10" s="108"/>
      <c r="AB10" s="108"/>
      <c r="AC10" s="108"/>
      <c r="AD10" s="44"/>
      <c r="AE10" s="44"/>
      <c r="AF10" s="44"/>
      <c r="AG10" s="44"/>
      <c r="AH10" s="44"/>
      <c r="AI10" s="44"/>
      <c r="AJ10" s="44"/>
      <c r="AK10" s="44"/>
      <c r="AL10" s="108"/>
      <c r="AM10" s="108"/>
      <c r="AN10" s="108"/>
      <c r="AO10" s="44"/>
      <c r="AP10" s="108"/>
      <c r="AQ10" s="108"/>
      <c r="AR10" s="108"/>
      <c r="AS10" s="108"/>
      <c r="AT10" s="108"/>
      <c r="AU10" s="108"/>
      <c r="AV10" s="108"/>
      <c r="AW10" s="44"/>
      <c r="AX10" s="108"/>
      <c r="AY10" s="108"/>
      <c r="AZ10" s="108"/>
      <c r="BA10" s="108"/>
      <c r="BB10" s="108"/>
      <c r="BC10" s="108"/>
      <c r="BD10" s="108"/>
      <c r="BE10" s="44"/>
    </row>
    <row r="11" spans="1:57" ht="16.5" x14ac:dyDescent="0.3">
      <c r="A11" s="98" t="str">
        <f>IF('Building Typology'!A11=0," ",'Building Typology'!A11)</f>
        <v>RETAIL &amp; HOSPITALITY</v>
      </c>
      <c r="B11" s="44"/>
      <c r="C11" s="103"/>
      <c r="D11" s="103"/>
      <c r="E11" s="103"/>
      <c r="F11" s="103"/>
      <c r="G11" s="103"/>
      <c r="H11" s="103"/>
      <c r="I11" s="103"/>
      <c r="J11" s="44"/>
      <c r="K11" s="46"/>
      <c r="L11" s="46"/>
      <c r="M11" s="46"/>
      <c r="N11" s="46"/>
      <c r="O11" s="103"/>
      <c r="P11" s="103"/>
      <c r="Q11" s="103"/>
      <c r="R11" s="103"/>
      <c r="S11" s="44"/>
      <c r="T11" s="46"/>
      <c r="U11" s="46"/>
      <c r="V11" s="46"/>
      <c r="W11" s="46"/>
      <c r="X11" s="46"/>
      <c r="Y11" s="46"/>
      <c r="Z11" s="103"/>
      <c r="AA11" s="103"/>
      <c r="AB11" s="103"/>
      <c r="AC11" s="103"/>
      <c r="AD11" s="44"/>
      <c r="AE11" s="46"/>
      <c r="AF11" s="46"/>
      <c r="AG11" s="46"/>
      <c r="AH11" s="46"/>
      <c r="AI11" s="46"/>
      <c r="AJ11" s="46"/>
      <c r="AK11" s="46"/>
      <c r="AL11" s="103"/>
      <c r="AM11" s="103"/>
      <c r="AN11" s="103"/>
      <c r="AO11" s="44"/>
      <c r="AP11" s="103"/>
      <c r="AQ11" s="103"/>
      <c r="AR11" s="103"/>
      <c r="AS11" s="103"/>
      <c r="AT11" s="103"/>
      <c r="AU11" s="103"/>
      <c r="AV11" s="103"/>
      <c r="AW11" s="44"/>
      <c r="AX11" s="103"/>
      <c r="AY11" s="103"/>
      <c r="AZ11" s="103"/>
      <c r="BA11" s="103"/>
      <c r="BB11" s="103"/>
      <c r="BC11" s="103"/>
      <c r="BD11" s="103"/>
      <c r="BE11" s="44"/>
    </row>
    <row r="12" spans="1:57" x14ac:dyDescent="0.3">
      <c r="A12" s="46" t="str">
        <f>IF('Building Typology'!A12=0," ",'Building Typology'!A12)</f>
        <v>Restaurant - gas MAU + RTU</v>
      </c>
      <c r="B12" s="44"/>
      <c r="C12" s="101">
        <v>0</v>
      </c>
      <c r="D12" s="101">
        <v>131.11709476666431</v>
      </c>
      <c r="E12" s="101">
        <v>15</v>
      </c>
      <c r="F12" s="101">
        <v>2200</v>
      </c>
      <c r="G12" s="101">
        <v>0</v>
      </c>
      <c r="H12" s="101">
        <v>0</v>
      </c>
      <c r="I12" s="101">
        <v>0</v>
      </c>
      <c r="J12" s="44"/>
      <c r="K12" s="72">
        <f>MAX('Building Typology'!$AO12,'Building Typology'!$AW12)</f>
        <v>35.414807858333333</v>
      </c>
      <c r="L12" s="72">
        <f>('Building Typology'!$AR12*0.2928)/3.514</f>
        <v>7.4987424430278891</v>
      </c>
      <c r="M12" s="101">
        <v>0</v>
      </c>
      <c r="N12" s="101">
        <v>11200</v>
      </c>
      <c r="O12" s="101">
        <v>25</v>
      </c>
      <c r="P12" s="101">
        <v>12320</v>
      </c>
      <c r="Q12" s="101">
        <v>0</v>
      </c>
      <c r="R12" s="101">
        <v>100000</v>
      </c>
      <c r="S12" s="44"/>
      <c r="T12" s="105">
        <f>0.8*0.7</f>
        <v>0.55999999999999994</v>
      </c>
      <c r="U12" s="105">
        <v>0.5</v>
      </c>
      <c r="V12" s="72">
        <f>'FS - Unitary Capital'!K12*T12</f>
        <v>19.832292400666663</v>
      </c>
      <c r="W12" s="72">
        <f>'FS - Unitary Capital'!L12*U12</f>
        <v>3.7493712215139445</v>
      </c>
      <c r="X12" s="101">
        <v>0</v>
      </c>
      <c r="Y12" s="101">
        <v>11200</v>
      </c>
      <c r="Z12" s="101">
        <v>25</v>
      </c>
      <c r="AA12" s="101">
        <v>12320</v>
      </c>
      <c r="AB12" s="101">
        <v>0</v>
      </c>
      <c r="AC12" s="101">
        <v>100000</v>
      </c>
      <c r="AD12" s="44"/>
      <c r="AE12" s="105">
        <v>1</v>
      </c>
      <c r="AF12" s="105">
        <v>1</v>
      </c>
      <c r="AG12" s="72">
        <f>MAX('Building Typology'!$AO12,'Building Typology'!$AW12)*AE12</f>
        <v>35.414807858333333</v>
      </c>
      <c r="AH12" s="72">
        <f>(('Building Typology'!$AR12*0.2928)/3.514)*AF12</f>
        <v>7.4987424430278891</v>
      </c>
      <c r="AI12" s="101">
        <v>0</v>
      </c>
      <c r="AJ12" s="101">
        <v>6300</v>
      </c>
      <c r="AK12" s="101">
        <v>15</v>
      </c>
      <c r="AL12" s="101">
        <v>22050</v>
      </c>
      <c r="AM12" s="101">
        <v>3300</v>
      </c>
      <c r="AN12" s="101">
        <v>50000</v>
      </c>
      <c r="AO12" s="44"/>
      <c r="AP12" s="101">
        <v>0</v>
      </c>
      <c r="AQ12" s="101">
        <v>58.565153733528547</v>
      </c>
      <c r="AR12" s="101">
        <v>15</v>
      </c>
      <c r="AS12" s="101">
        <v>2200</v>
      </c>
      <c r="AT12" s="101">
        <v>0</v>
      </c>
      <c r="AU12" s="101">
        <v>0</v>
      </c>
      <c r="AV12" s="101">
        <v>350000</v>
      </c>
      <c r="AW12" s="44"/>
      <c r="AX12" s="101">
        <v>0</v>
      </c>
      <c r="AY12" s="101">
        <v>20</v>
      </c>
      <c r="AZ12" s="101">
        <v>15</v>
      </c>
      <c r="BA12" s="101">
        <v>2200</v>
      </c>
      <c r="BB12" s="101">
        <v>0</v>
      </c>
      <c r="BC12" s="101">
        <v>0</v>
      </c>
      <c r="BD12" s="101">
        <v>0</v>
      </c>
      <c r="BE12" s="44"/>
    </row>
    <row r="13" spans="1:57" x14ac:dyDescent="0.3">
      <c r="A13" s="46" t="str">
        <f>IF('Building Typology'!A13=0," ",'Building Typology'!A13)</f>
        <v>High-rise hotel - gas boiler</v>
      </c>
      <c r="B13" s="44"/>
      <c r="C13" s="101">
        <v>57.500000000000007</v>
      </c>
      <c r="D13" s="101">
        <v>57.5</v>
      </c>
      <c r="E13" s="101">
        <v>0</v>
      </c>
      <c r="F13" s="101">
        <v>0</v>
      </c>
      <c r="G13" s="101">
        <v>3000</v>
      </c>
      <c r="H13" s="101">
        <v>0</v>
      </c>
      <c r="I13" s="101">
        <v>0</v>
      </c>
      <c r="J13" s="44"/>
      <c r="K13" s="72">
        <f>MAX('Building Typology'!$AO13,'Building Typology'!$AW13)</f>
        <v>623.7468972256097</v>
      </c>
      <c r="L13" s="72">
        <f>('Building Typology'!$AR13*0.2928)/3.514</f>
        <v>208.88826960095622</v>
      </c>
      <c r="M13" s="101">
        <v>8000.0000000000009</v>
      </c>
      <c r="N13" s="101">
        <v>8750</v>
      </c>
      <c r="O13" s="101">
        <v>20</v>
      </c>
      <c r="P13" s="101">
        <v>0</v>
      </c>
      <c r="Q13" s="101">
        <v>0</v>
      </c>
      <c r="R13" s="101">
        <v>1250000</v>
      </c>
      <c r="S13" s="44"/>
      <c r="T13" s="105">
        <f>0.8*0.7</f>
        <v>0.55999999999999994</v>
      </c>
      <c r="U13" s="105">
        <v>0.5</v>
      </c>
      <c r="V13" s="72">
        <f>'FS - Unitary Capital'!K13*T13</f>
        <v>349.29826244634137</v>
      </c>
      <c r="W13" s="72">
        <f>'FS - Unitary Capital'!L13*U13</f>
        <v>104.44413480047811</v>
      </c>
      <c r="X13" s="101">
        <v>8000.0000000000009</v>
      </c>
      <c r="Y13" s="101">
        <v>8750</v>
      </c>
      <c r="Z13" s="101">
        <v>20</v>
      </c>
      <c r="AA13" s="101">
        <v>0</v>
      </c>
      <c r="AB13" s="101">
        <v>0</v>
      </c>
      <c r="AC13" s="101">
        <v>1250000</v>
      </c>
      <c r="AD13" s="44"/>
      <c r="AE13" s="105">
        <v>1</v>
      </c>
      <c r="AF13" s="105">
        <v>1</v>
      </c>
      <c r="AG13" s="72">
        <f>MAX('Building Typology'!$AO13,'Building Typology'!$AW13)*AE13</f>
        <v>623.7468972256097</v>
      </c>
      <c r="AH13" s="72">
        <f>(('Building Typology'!$AR13*0.2928)/3.514)*AF13</f>
        <v>208.88826960095622</v>
      </c>
      <c r="AI13" s="101">
        <v>8000.0000000000009</v>
      </c>
      <c r="AJ13" s="101">
        <v>8750</v>
      </c>
      <c r="AK13" s="101">
        <v>20</v>
      </c>
      <c r="AL13" s="101">
        <v>0</v>
      </c>
      <c r="AM13" s="101">
        <v>3300</v>
      </c>
      <c r="AN13" s="101">
        <v>1000000</v>
      </c>
      <c r="AO13" s="44"/>
      <c r="AP13" s="101">
        <v>29.282576866764273</v>
      </c>
      <c r="AQ13" s="101">
        <v>29.282576866764273</v>
      </c>
      <c r="AR13" s="106">
        <v>0</v>
      </c>
      <c r="AS13" s="101">
        <v>0</v>
      </c>
      <c r="AT13" s="101">
        <v>3000</v>
      </c>
      <c r="AU13" s="101">
        <v>0</v>
      </c>
      <c r="AV13" s="101">
        <v>1500000</v>
      </c>
      <c r="AW13" s="44"/>
      <c r="AX13" s="101">
        <v>57.500000000000007</v>
      </c>
      <c r="AY13" s="101">
        <v>57.5</v>
      </c>
      <c r="AZ13" s="101">
        <v>0</v>
      </c>
      <c r="BA13" s="101">
        <v>0</v>
      </c>
      <c r="BB13" s="101">
        <v>3000</v>
      </c>
      <c r="BC13" s="101">
        <v>0</v>
      </c>
      <c r="BD13" s="101">
        <v>0</v>
      </c>
      <c r="BE13" s="44"/>
    </row>
    <row r="14" spans="1:57" x14ac:dyDescent="0.3">
      <c r="A14" s="46" t="str">
        <f>IF('Building Typology'!A14=0," ",'Building Typology'!A14)</f>
        <v>High-rise hotel - electric</v>
      </c>
      <c r="B14" s="44"/>
      <c r="C14" s="101">
        <v>0</v>
      </c>
      <c r="D14" s="101">
        <v>0</v>
      </c>
      <c r="E14" s="101">
        <v>15</v>
      </c>
      <c r="F14" s="101">
        <v>0</v>
      </c>
      <c r="G14" s="101">
        <v>0</v>
      </c>
      <c r="H14" s="101">
        <f>1500*1.5*170</f>
        <v>382500</v>
      </c>
      <c r="I14" s="101">
        <v>0</v>
      </c>
      <c r="J14" s="44"/>
      <c r="K14" s="72">
        <f>MAX('Building Typology'!$AO14,'Building Typology'!$AW14)</f>
        <v>623.7468972256097</v>
      </c>
      <c r="L14" s="72">
        <f>('Building Typology'!$AR14*0.2928)/3.514</f>
        <v>208.88826960095622</v>
      </c>
      <c r="M14" s="101">
        <v>0</v>
      </c>
      <c r="N14" s="101">
        <v>8750</v>
      </c>
      <c r="O14" s="101">
        <v>24</v>
      </c>
      <c r="P14" s="101">
        <v>0</v>
      </c>
      <c r="Q14" s="101">
        <v>0</v>
      </c>
      <c r="R14" s="101">
        <v>200000</v>
      </c>
      <c r="S14" s="44"/>
      <c r="T14" s="105">
        <f>0.8*0.7</f>
        <v>0.55999999999999994</v>
      </c>
      <c r="U14" s="105">
        <v>0.5</v>
      </c>
      <c r="V14" s="72">
        <f>'FS - Unitary Capital'!K14*T14</f>
        <v>349.29826244634137</v>
      </c>
      <c r="W14" s="72">
        <f>'FS - Unitary Capital'!L14*U14</f>
        <v>104.44413480047811</v>
      </c>
      <c r="X14" s="101">
        <v>0</v>
      </c>
      <c r="Y14" s="101">
        <v>8750</v>
      </c>
      <c r="Z14" s="101">
        <v>24</v>
      </c>
      <c r="AA14" s="101">
        <v>0</v>
      </c>
      <c r="AB14" s="101">
        <v>0</v>
      </c>
      <c r="AC14" s="101">
        <v>200000</v>
      </c>
      <c r="AD14" s="44"/>
      <c r="AE14" s="105">
        <v>1</v>
      </c>
      <c r="AF14" s="105">
        <v>1</v>
      </c>
      <c r="AG14" s="72">
        <f>MAX('Building Typology'!$AO14,'Building Typology'!$AW14)*AE14</f>
        <v>623.7468972256097</v>
      </c>
      <c r="AH14" s="72">
        <f>(('Building Typology'!$AR14*0.2928)/3.514)*AF14</f>
        <v>208.88826960095622</v>
      </c>
      <c r="AI14" s="101">
        <v>0</v>
      </c>
      <c r="AJ14" s="101">
        <v>8750</v>
      </c>
      <c r="AK14" s="101">
        <v>24</v>
      </c>
      <c r="AL14" s="101">
        <v>0</v>
      </c>
      <c r="AM14" s="101">
        <v>3300</v>
      </c>
      <c r="AN14" s="101">
        <v>150000</v>
      </c>
      <c r="AO14" s="44"/>
      <c r="AP14" s="101">
        <v>0</v>
      </c>
      <c r="AQ14" s="101">
        <v>0</v>
      </c>
      <c r="AR14" s="101">
        <v>15</v>
      </c>
      <c r="AS14" s="101">
        <v>0</v>
      </c>
      <c r="AT14" s="101">
        <v>0</v>
      </c>
      <c r="AU14" s="101">
        <f>1500*1.5*170</f>
        <v>382500</v>
      </c>
      <c r="AV14" s="101">
        <v>400000</v>
      </c>
      <c r="AW14" s="44"/>
      <c r="AX14" s="101">
        <v>0</v>
      </c>
      <c r="AY14" s="101">
        <v>0</v>
      </c>
      <c r="AZ14" s="101">
        <v>0</v>
      </c>
      <c r="BA14" s="101">
        <v>0</v>
      </c>
      <c r="BB14" s="101">
        <v>0</v>
      </c>
      <c r="BC14" s="101">
        <f>1500*1.5*170</f>
        <v>382500</v>
      </c>
      <c r="BD14" s="101">
        <v>0</v>
      </c>
      <c r="BE14" s="44"/>
    </row>
    <row r="15" spans="1:57" x14ac:dyDescent="0.3">
      <c r="A15" s="46" t="str">
        <f>IF('Building Typology'!A15=0," ",'Building Typology'!A15)</f>
        <v>Standalone retail</v>
      </c>
      <c r="B15" s="44"/>
      <c r="C15" s="101">
        <v>0</v>
      </c>
      <c r="D15" s="101">
        <v>0</v>
      </c>
      <c r="E15" s="101">
        <v>0</v>
      </c>
      <c r="F15" s="101">
        <v>2200</v>
      </c>
      <c r="G15" s="101">
        <v>0</v>
      </c>
      <c r="H15" s="101">
        <v>0</v>
      </c>
      <c r="I15" s="101">
        <v>0</v>
      </c>
      <c r="J15" s="44"/>
      <c r="K15" s="72">
        <f>MAX('Building Typology'!$AO15,'Building Typology'!$AW15)</f>
        <v>4.7173688741666666</v>
      </c>
      <c r="L15" s="72">
        <f>('Building Typology'!$AR15*0.2928)/3.514</f>
        <v>0.15008101481593628</v>
      </c>
      <c r="M15" s="101">
        <v>13999.999999999998</v>
      </c>
      <c r="N15" s="101">
        <v>0</v>
      </c>
      <c r="O15" s="101">
        <v>20</v>
      </c>
      <c r="P15" s="101">
        <v>0</v>
      </c>
      <c r="Q15" s="101">
        <v>0</v>
      </c>
      <c r="R15" s="101">
        <v>40000</v>
      </c>
      <c r="S15" s="44"/>
      <c r="T15" s="105">
        <f>0.8*0.7</f>
        <v>0.55999999999999994</v>
      </c>
      <c r="U15" s="105">
        <v>0.5</v>
      </c>
      <c r="V15" s="72">
        <f>'FS - Unitary Capital'!K15*T15</f>
        <v>2.6417265695333332</v>
      </c>
      <c r="W15" s="72">
        <f>'FS - Unitary Capital'!L15*U15</f>
        <v>7.5040507407968138E-2</v>
      </c>
      <c r="X15" s="101">
        <v>14000</v>
      </c>
      <c r="Y15" s="101">
        <v>0</v>
      </c>
      <c r="Z15" s="101">
        <v>20</v>
      </c>
      <c r="AA15" s="101">
        <v>0</v>
      </c>
      <c r="AB15" s="101">
        <v>0</v>
      </c>
      <c r="AC15" s="101">
        <v>40000</v>
      </c>
      <c r="AD15" s="44"/>
      <c r="AE15" s="105">
        <v>1</v>
      </c>
      <c r="AF15" s="105">
        <v>1</v>
      </c>
      <c r="AG15" s="72">
        <f>MAX('Building Typology'!$AO15,'Building Typology'!$AW15)*AE15</f>
        <v>4.7173688741666666</v>
      </c>
      <c r="AH15" s="72">
        <f>(('Building Typology'!$AR15*0.2928)/3.514)*AF15</f>
        <v>0.15008101481593628</v>
      </c>
      <c r="AI15" s="101">
        <v>13999.999999999998</v>
      </c>
      <c r="AJ15" s="101">
        <v>0</v>
      </c>
      <c r="AK15" s="101">
        <v>20</v>
      </c>
      <c r="AL15" s="101">
        <v>0</v>
      </c>
      <c r="AM15" s="101">
        <v>3300</v>
      </c>
      <c r="AN15" s="101">
        <v>40000</v>
      </c>
      <c r="AO15" s="44"/>
      <c r="AP15" s="101">
        <v>0</v>
      </c>
      <c r="AQ15" s="101">
        <v>0</v>
      </c>
      <c r="AR15" s="106">
        <v>0</v>
      </c>
      <c r="AS15" s="101">
        <v>2200</v>
      </c>
      <c r="AT15" s="101">
        <v>0</v>
      </c>
      <c r="AU15" s="101">
        <v>0</v>
      </c>
      <c r="AV15" s="101">
        <v>40000</v>
      </c>
      <c r="AW15" s="44"/>
      <c r="AX15" s="101">
        <v>0</v>
      </c>
      <c r="AY15" s="101">
        <v>0</v>
      </c>
      <c r="AZ15" s="101">
        <v>0</v>
      </c>
      <c r="BA15" s="101">
        <v>2200</v>
      </c>
      <c r="BB15" s="101">
        <v>0</v>
      </c>
      <c r="BC15" s="101">
        <v>0</v>
      </c>
      <c r="BD15" s="101">
        <v>0</v>
      </c>
      <c r="BE15" s="44"/>
    </row>
    <row r="16" spans="1:57" x14ac:dyDescent="0.3">
      <c r="A16" s="46" t="str">
        <f>IF('Building Typology'!A16=0," ",'Building Typology'!A16)</f>
        <v>Mall retail</v>
      </c>
      <c r="B16" s="44"/>
      <c r="C16" s="101">
        <v>57.5</v>
      </c>
      <c r="D16" s="101">
        <v>96.363472037835834</v>
      </c>
      <c r="E16" s="101">
        <v>0</v>
      </c>
      <c r="F16" s="101">
        <v>0</v>
      </c>
      <c r="G16" s="101">
        <v>3000</v>
      </c>
      <c r="H16" s="101">
        <v>0</v>
      </c>
      <c r="I16" s="101">
        <v>0</v>
      </c>
      <c r="J16" s="44"/>
      <c r="K16" s="72">
        <f>MAX('Building Typology'!$AO16,'Building Typology'!$AW16)</f>
        <v>673.90983916666664</v>
      </c>
      <c r="L16" s="72">
        <f>('Building Typology'!$AR16*0.2928)/3.514</f>
        <v>21.440144973705177</v>
      </c>
      <c r="M16" s="101">
        <v>7000</v>
      </c>
      <c r="N16" s="101">
        <v>11200</v>
      </c>
      <c r="O16" s="101">
        <v>0</v>
      </c>
      <c r="P16" s="101">
        <v>0</v>
      </c>
      <c r="Q16" s="101">
        <v>1200000</v>
      </c>
      <c r="R16" s="101">
        <v>750000</v>
      </c>
      <c r="S16" s="44"/>
      <c r="T16" s="105">
        <f>0.8*0.7</f>
        <v>0.55999999999999994</v>
      </c>
      <c r="U16" s="105">
        <v>0.5</v>
      </c>
      <c r="V16" s="72">
        <f>'FS - Unitary Capital'!K16*T16</f>
        <v>377.38950993333327</v>
      </c>
      <c r="W16" s="72">
        <f>'FS - Unitary Capital'!L16*U16</f>
        <v>10.720072486852589</v>
      </c>
      <c r="X16" s="101">
        <v>6999.9999999999991</v>
      </c>
      <c r="Y16" s="101">
        <v>11200</v>
      </c>
      <c r="Z16" s="101">
        <v>0</v>
      </c>
      <c r="AA16" s="101">
        <v>0</v>
      </c>
      <c r="AB16" s="101">
        <v>770000</v>
      </c>
      <c r="AC16" s="101">
        <v>750000</v>
      </c>
      <c r="AD16" s="44"/>
      <c r="AE16" s="105">
        <v>1</v>
      </c>
      <c r="AF16" s="105">
        <v>1</v>
      </c>
      <c r="AG16" s="72">
        <f>MAX('Building Typology'!$AO16,'Building Typology'!$AW16)*AE16</f>
        <v>673.90983916666664</v>
      </c>
      <c r="AH16" s="72">
        <f>(('Building Typology'!$AR16*0.2928)/3.514)*AF16</f>
        <v>21.440144973705177</v>
      </c>
      <c r="AI16" s="101">
        <v>7000</v>
      </c>
      <c r="AJ16" s="101">
        <v>11200</v>
      </c>
      <c r="AK16" s="101">
        <v>0</v>
      </c>
      <c r="AL16" s="101">
        <v>0</v>
      </c>
      <c r="AM16" s="101">
        <v>3300.0000000000005</v>
      </c>
      <c r="AN16" s="101">
        <v>750000</v>
      </c>
      <c r="AO16" s="44"/>
      <c r="AP16" s="101">
        <v>29.282576866764277</v>
      </c>
      <c r="AQ16" s="101">
        <v>58.565153733528547</v>
      </c>
      <c r="AR16" s="106">
        <v>0</v>
      </c>
      <c r="AS16" s="101">
        <v>0</v>
      </c>
      <c r="AT16" s="101">
        <v>3000</v>
      </c>
      <c r="AU16" s="101">
        <v>0</v>
      </c>
      <c r="AV16" s="101">
        <v>1500000</v>
      </c>
      <c r="AW16" s="44"/>
      <c r="AX16" s="101">
        <v>57.5</v>
      </c>
      <c r="AY16" s="101">
        <v>57.5</v>
      </c>
      <c r="AZ16" s="101">
        <v>0</v>
      </c>
      <c r="BA16" s="101">
        <v>0</v>
      </c>
      <c r="BB16" s="101">
        <v>3000</v>
      </c>
      <c r="BC16" s="101">
        <v>0</v>
      </c>
      <c r="BD16" s="101">
        <v>0</v>
      </c>
      <c r="BE16" s="44"/>
    </row>
    <row r="17" spans="1:57" x14ac:dyDescent="0.3">
      <c r="A17" s="44" t="str">
        <f>IF('Building Typology'!A17=0," ",'Building Typology'!A17)</f>
        <v xml:space="preserve"> </v>
      </c>
      <c r="B17" s="44"/>
      <c r="C17" s="108"/>
      <c r="D17" s="108"/>
      <c r="E17" s="108"/>
      <c r="F17" s="108"/>
      <c r="G17" s="108"/>
      <c r="H17" s="108"/>
      <c r="I17" s="108"/>
      <c r="J17" s="44"/>
      <c r="K17" s="44"/>
      <c r="L17" s="44"/>
      <c r="M17" s="44"/>
      <c r="N17" s="44"/>
      <c r="O17" s="108"/>
      <c r="P17" s="108"/>
      <c r="Q17" s="108"/>
      <c r="R17" s="108"/>
      <c r="S17" s="44"/>
      <c r="T17" s="44"/>
      <c r="U17" s="44"/>
      <c r="V17" s="44"/>
      <c r="W17" s="44"/>
      <c r="X17" s="44"/>
      <c r="Y17" s="44"/>
      <c r="Z17" s="108"/>
      <c r="AA17" s="108"/>
      <c r="AB17" s="108"/>
      <c r="AC17" s="108"/>
      <c r="AD17" s="44"/>
      <c r="AE17" s="44"/>
      <c r="AF17" s="44"/>
      <c r="AG17" s="44"/>
      <c r="AH17" s="44"/>
      <c r="AI17" s="44"/>
      <c r="AJ17" s="44"/>
      <c r="AK17" s="44"/>
      <c r="AL17" s="108"/>
      <c r="AM17" s="108"/>
      <c r="AN17" s="108"/>
      <c r="AO17" s="44"/>
      <c r="AP17" s="108"/>
      <c r="AQ17" s="108"/>
      <c r="AR17" s="108"/>
      <c r="AS17" s="108"/>
      <c r="AT17" s="108"/>
      <c r="AU17" s="108"/>
      <c r="AV17" s="108"/>
      <c r="AW17" s="44"/>
      <c r="AX17" s="108"/>
      <c r="AY17" s="108"/>
      <c r="AZ17" s="108"/>
      <c r="BA17" s="108"/>
      <c r="BB17" s="108"/>
      <c r="BC17" s="108"/>
      <c r="BD17" s="108"/>
      <c r="BE17" s="44"/>
    </row>
    <row r="18" spans="1:57" ht="16.5" x14ac:dyDescent="0.3">
      <c r="A18" s="98" t="str">
        <f>IF('Building Typology'!A18=0," ",'Building Typology'!A18)</f>
        <v>MULTI-UNIT RESIDENTIAL</v>
      </c>
      <c r="B18" s="44"/>
      <c r="C18" s="100"/>
      <c r="D18" s="100"/>
      <c r="E18" s="100"/>
      <c r="F18" s="100"/>
      <c r="G18" s="100"/>
      <c r="H18" s="100"/>
      <c r="I18" s="100"/>
      <c r="J18" s="44"/>
      <c r="K18" s="46"/>
      <c r="L18" s="46"/>
      <c r="M18" s="46"/>
      <c r="N18" s="46"/>
      <c r="O18" s="100"/>
      <c r="P18" s="100"/>
      <c r="Q18" s="100"/>
      <c r="R18" s="100"/>
      <c r="S18" s="44"/>
      <c r="T18" s="46"/>
      <c r="U18" s="46"/>
      <c r="V18" s="46"/>
      <c r="W18" s="46"/>
      <c r="X18" s="46"/>
      <c r="Y18" s="46"/>
      <c r="Z18" s="100"/>
      <c r="AA18" s="100"/>
      <c r="AB18" s="100"/>
      <c r="AC18" s="100"/>
      <c r="AD18" s="44"/>
      <c r="AE18" s="46"/>
      <c r="AF18" s="46"/>
      <c r="AG18" s="46"/>
      <c r="AH18" s="46"/>
      <c r="AI18" s="46"/>
      <c r="AJ18" s="46"/>
      <c r="AK18" s="46"/>
      <c r="AL18" s="100"/>
      <c r="AM18" s="100"/>
      <c r="AN18" s="100"/>
      <c r="AO18" s="44"/>
      <c r="AP18" s="100"/>
      <c r="AQ18" s="100"/>
      <c r="AR18" s="100"/>
      <c r="AS18" s="100"/>
      <c r="AT18" s="100"/>
      <c r="AU18" s="100"/>
      <c r="AV18" s="100"/>
      <c r="AW18" s="44"/>
      <c r="AX18" s="100"/>
      <c r="AY18" s="100"/>
      <c r="AZ18" s="100"/>
      <c r="BA18" s="100"/>
      <c r="BB18" s="100"/>
      <c r="BC18" s="100"/>
      <c r="BD18" s="100"/>
      <c r="BE18" s="44"/>
    </row>
    <row r="19" spans="1:57" x14ac:dyDescent="0.3">
      <c r="A19" s="46" t="str">
        <f>IF('Building Typology'!A19=0," ",'Building Typology'!A19)</f>
        <v>Pre-2004 apartment - gas boiler</v>
      </c>
      <c r="B19" s="44"/>
      <c r="C19" s="101">
        <v>57.5</v>
      </c>
      <c r="D19" s="101">
        <v>57.500000000000007</v>
      </c>
      <c r="E19" s="101">
        <v>0</v>
      </c>
      <c r="F19" s="101">
        <v>0</v>
      </c>
      <c r="G19" s="101">
        <v>3000</v>
      </c>
      <c r="H19" s="101">
        <v>0</v>
      </c>
      <c r="I19" s="101">
        <v>0</v>
      </c>
      <c r="J19" s="44"/>
      <c r="K19" s="72">
        <f>MAX('Building Typology'!$AO19,'Building Typology'!$AW19)</f>
        <v>612.03266302499992</v>
      </c>
      <c r="L19" s="72">
        <f>('Building Typology'!$AR19*0.2928)/3.514</f>
        <v>209.78189224763392</v>
      </c>
      <c r="M19" s="101">
        <v>8000</v>
      </c>
      <c r="N19" s="101">
        <v>8750</v>
      </c>
      <c r="O19" s="101">
        <v>20</v>
      </c>
      <c r="P19" s="101">
        <v>0</v>
      </c>
      <c r="Q19" s="101">
        <v>0</v>
      </c>
      <c r="R19" s="101">
        <v>1250000</v>
      </c>
      <c r="S19" s="44"/>
      <c r="T19" s="105">
        <f>0.8*0.7</f>
        <v>0.55999999999999994</v>
      </c>
      <c r="U19" s="105">
        <v>0.5</v>
      </c>
      <c r="V19" s="72">
        <f>'FS - Unitary Capital'!K19*T19</f>
        <v>342.73829129399991</v>
      </c>
      <c r="W19" s="72">
        <f>'FS - Unitary Capital'!L19*U19</f>
        <v>104.89094612381696</v>
      </c>
      <c r="X19" s="101">
        <v>7999.9999999999991</v>
      </c>
      <c r="Y19" s="101">
        <v>8750</v>
      </c>
      <c r="Z19" s="101">
        <v>20</v>
      </c>
      <c r="AA19" s="101">
        <v>0</v>
      </c>
      <c r="AB19" s="101">
        <v>0</v>
      </c>
      <c r="AC19" s="101">
        <v>1250000</v>
      </c>
      <c r="AD19" s="44"/>
      <c r="AE19" s="105">
        <v>1</v>
      </c>
      <c r="AF19" s="105">
        <v>1</v>
      </c>
      <c r="AG19" s="72">
        <f>MAX('Building Typology'!$AO19,'Building Typology'!$AW19)*AE19</f>
        <v>612.03266302499992</v>
      </c>
      <c r="AH19" s="72">
        <f>(('Building Typology'!$AR19*0.2928)/3.514)*AF19</f>
        <v>209.78189224763392</v>
      </c>
      <c r="AI19" s="101">
        <v>4872.2072859013333</v>
      </c>
      <c r="AJ19" s="101">
        <v>8750</v>
      </c>
      <c r="AK19" s="101">
        <v>7</v>
      </c>
      <c r="AL19" s="101">
        <v>0</v>
      </c>
      <c r="AM19" s="101">
        <v>3300</v>
      </c>
      <c r="AN19" s="101">
        <v>300000</v>
      </c>
      <c r="AO19" s="44"/>
      <c r="AP19" s="101">
        <v>29.282576866764273</v>
      </c>
      <c r="AQ19" s="101">
        <v>29.28257686676427</v>
      </c>
      <c r="AR19" s="106">
        <v>0</v>
      </c>
      <c r="AS19" s="101">
        <v>0</v>
      </c>
      <c r="AT19" s="101">
        <v>3000</v>
      </c>
      <c r="AU19" s="101">
        <v>0</v>
      </c>
      <c r="AV19" s="101">
        <v>1500000</v>
      </c>
      <c r="AW19" s="44"/>
      <c r="AX19" s="101">
        <v>57.5</v>
      </c>
      <c r="AY19" s="101">
        <v>57.500000000000007</v>
      </c>
      <c r="AZ19" s="101">
        <v>0</v>
      </c>
      <c r="BA19" s="101">
        <v>0</v>
      </c>
      <c r="BB19" s="101">
        <v>3000</v>
      </c>
      <c r="BC19" s="101">
        <v>0</v>
      </c>
      <c r="BD19" s="101">
        <v>0</v>
      </c>
      <c r="BE19" s="44"/>
    </row>
    <row r="20" spans="1:57" x14ac:dyDescent="0.3">
      <c r="A20" s="46" t="str">
        <f>IF('Building Typology'!A20=0," ",'Building Typology'!A20)</f>
        <v>Pre-2004 apartment - electric</v>
      </c>
      <c r="B20" s="44"/>
      <c r="C20" s="101">
        <v>0</v>
      </c>
      <c r="D20" s="101">
        <v>57.500000000000007</v>
      </c>
      <c r="E20" s="101">
        <v>15</v>
      </c>
      <c r="F20" s="101">
        <v>0</v>
      </c>
      <c r="G20" s="101">
        <v>3000</v>
      </c>
      <c r="H20" s="101">
        <v>0</v>
      </c>
      <c r="I20" s="101">
        <v>0</v>
      </c>
      <c r="J20" s="44"/>
      <c r="K20" s="72">
        <f>MAX('Building Typology'!$AO20,'Building Typology'!$AW20)</f>
        <v>612.03266302499992</v>
      </c>
      <c r="L20" s="72">
        <f>('Building Typology'!$AR20*0.2928)/3.514</f>
        <v>209.78189224763392</v>
      </c>
      <c r="M20" s="101">
        <v>0</v>
      </c>
      <c r="N20" s="101">
        <v>8750</v>
      </c>
      <c r="O20" s="101">
        <v>10</v>
      </c>
      <c r="P20" s="101">
        <v>0</v>
      </c>
      <c r="Q20" s="101">
        <v>0</v>
      </c>
      <c r="R20" s="101">
        <v>250000</v>
      </c>
      <c r="S20" s="44"/>
      <c r="T20" s="105">
        <f>0.8*0.7</f>
        <v>0.55999999999999994</v>
      </c>
      <c r="U20" s="105">
        <v>0.5</v>
      </c>
      <c r="V20" s="72">
        <f>'FS - Unitary Capital'!K20*T20</f>
        <v>342.73829129399991</v>
      </c>
      <c r="W20" s="72">
        <f>'FS - Unitary Capital'!L20*U20</f>
        <v>104.89094612381696</v>
      </c>
      <c r="X20" s="101">
        <v>0</v>
      </c>
      <c r="Y20" s="101">
        <v>8750</v>
      </c>
      <c r="Z20" s="101">
        <v>10</v>
      </c>
      <c r="AA20" s="101">
        <v>0</v>
      </c>
      <c r="AB20" s="101">
        <v>0</v>
      </c>
      <c r="AC20" s="101">
        <v>250000</v>
      </c>
      <c r="AD20" s="44"/>
      <c r="AE20" s="105">
        <v>1</v>
      </c>
      <c r="AF20" s="105">
        <v>1</v>
      </c>
      <c r="AG20" s="72">
        <f>MAX('Building Typology'!$AO20,'Building Typology'!$AW20)*AE20</f>
        <v>612.03266302499992</v>
      </c>
      <c r="AH20" s="72">
        <f>(('Building Typology'!$AR20*0.2928)/3.514)*AF20</f>
        <v>209.78189224763392</v>
      </c>
      <c r="AI20" s="101">
        <v>0</v>
      </c>
      <c r="AJ20" s="101">
        <v>8750</v>
      </c>
      <c r="AK20" s="101">
        <v>7.5</v>
      </c>
      <c r="AL20" s="101">
        <v>0</v>
      </c>
      <c r="AM20" s="101">
        <v>3300</v>
      </c>
      <c r="AN20" s="101">
        <v>300000</v>
      </c>
      <c r="AO20" s="44"/>
      <c r="AP20" s="101">
        <v>0</v>
      </c>
      <c r="AQ20" s="101">
        <v>29.28257686676427</v>
      </c>
      <c r="AR20" s="101">
        <v>15</v>
      </c>
      <c r="AS20" s="101">
        <v>0</v>
      </c>
      <c r="AT20" s="101">
        <v>3000</v>
      </c>
      <c r="AU20" s="101">
        <v>0</v>
      </c>
      <c r="AV20" s="101">
        <v>400000</v>
      </c>
      <c r="AW20" s="44"/>
      <c r="AX20" s="101">
        <v>0</v>
      </c>
      <c r="AY20" s="101">
        <v>0</v>
      </c>
      <c r="AZ20" s="101">
        <v>0</v>
      </c>
      <c r="BA20" s="101">
        <v>0</v>
      </c>
      <c r="BB20" s="101">
        <v>3000</v>
      </c>
      <c r="BC20" s="101">
        <v>0</v>
      </c>
      <c r="BD20" s="101">
        <v>0</v>
      </c>
      <c r="BE20" s="44"/>
    </row>
    <row r="21" spans="1:57" x14ac:dyDescent="0.3">
      <c r="A21" s="46" t="str">
        <f>IF('Building Typology'!A21=0," ",'Building Typology'!A21)</f>
        <v>Post-2004 condo (window glazing alternate)</v>
      </c>
      <c r="B21" s="44"/>
      <c r="C21" s="100"/>
      <c r="D21" s="100"/>
      <c r="E21" s="100"/>
      <c r="F21" s="100"/>
      <c r="G21" s="100"/>
      <c r="H21" s="100"/>
      <c r="I21" s="100"/>
      <c r="J21" s="44"/>
      <c r="K21" s="46"/>
      <c r="L21" s="46"/>
      <c r="M21" s="46"/>
      <c r="N21" s="46"/>
      <c r="O21" s="100"/>
      <c r="P21" s="100"/>
      <c r="Q21" s="100"/>
      <c r="R21" s="100"/>
      <c r="S21" s="44"/>
      <c r="T21" s="46"/>
      <c r="U21" s="46"/>
      <c r="V21" s="46"/>
      <c r="W21" s="46"/>
      <c r="X21" s="46"/>
      <c r="Y21" s="46"/>
      <c r="Z21" s="46"/>
      <c r="AA21" s="100"/>
      <c r="AB21" s="100"/>
      <c r="AC21" s="100"/>
      <c r="AD21" s="44"/>
      <c r="AE21" s="46"/>
      <c r="AF21" s="46"/>
      <c r="AG21" s="46"/>
      <c r="AH21" s="46"/>
      <c r="AI21" s="46"/>
      <c r="AJ21" s="46"/>
      <c r="AK21" s="46"/>
      <c r="AL21" s="100"/>
      <c r="AM21" s="100"/>
      <c r="AN21" s="100"/>
      <c r="AO21" s="44"/>
      <c r="AP21" s="100"/>
      <c r="AQ21" s="100"/>
      <c r="AR21" s="100"/>
      <c r="AS21" s="100"/>
      <c r="AT21" s="100"/>
      <c r="AU21" s="100"/>
      <c r="AV21" s="100"/>
      <c r="AW21" s="44"/>
      <c r="AX21" s="100"/>
      <c r="AY21" s="100"/>
      <c r="AZ21" s="100"/>
      <c r="BA21" s="100"/>
      <c r="BB21" s="100"/>
      <c r="BC21" s="100"/>
      <c r="BD21" s="100"/>
      <c r="BE21" s="44"/>
    </row>
    <row r="22" spans="1:57" x14ac:dyDescent="0.3">
      <c r="A22" s="46" t="str">
        <f>IF('Building Typology'!A22=0," ",'Building Typology'!A22)</f>
        <v>Post-2004 condo</v>
      </c>
      <c r="B22" s="44"/>
      <c r="C22" s="101">
        <v>57.5</v>
      </c>
      <c r="D22" s="101">
        <v>57.499999999999993</v>
      </c>
      <c r="E22" s="101">
        <v>0</v>
      </c>
      <c r="F22" s="101">
        <v>0</v>
      </c>
      <c r="G22" s="101">
        <v>3000</v>
      </c>
      <c r="H22" s="101">
        <v>0</v>
      </c>
      <c r="I22" s="101">
        <v>0</v>
      </c>
      <c r="J22" s="44"/>
      <c r="K22" s="72">
        <f>MAX('Building Typology'!$AO22,'Building Typology'!$AW22)</f>
        <v>620.30337468749997</v>
      </c>
      <c r="L22" s="72">
        <f>('Building Typology'!$AR22*0.2928)/3.514</f>
        <v>212.61678268341271</v>
      </c>
      <c r="M22" s="101">
        <v>8000</v>
      </c>
      <c r="N22" s="101">
        <v>8750.0000000000018</v>
      </c>
      <c r="O22" s="101">
        <v>20</v>
      </c>
      <c r="P22" s="101">
        <v>0</v>
      </c>
      <c r="Q22" s="101">
        <v>0</v>
      </c>
      <c r="R22" s="101">
        <v>1250000</v>
      </c>
      <c r="S22" s="44"/>
      <c r="T22" s="105">
        <f>0.8*0.7</f>
        <v>0.55999999999999994</v>
      </c>
      <c r="U22" s="105">
        <v>0.5</v>
      </c>
      <c r="V22" s="72">
        <f>'FS - Unitary Capital'!K22*T22</f>
        <v>347.36988982499997</v>
      </c>
      <c r="W22" s="72">
        <f>'FS - Unitary Capital'!L22*U22</f>
        <v>106.30839134170635</v>
      </c>
      <c r="X22" s="101">
        <v>8000</v>
      </c>
      <c r="Y22" s="101">
        <v>8750.0000000000018</v>
      </c>
      <c r="Z22" s="101">
        <v>20</v>
      </c>
      <c r="AA22" s="101">
        <v>0</v>
      </c>
      <c r="AB22" s="101">
        <v>0</v>
      </c>
      <c r="AC22" s="101">
        <v>1250000</v>
      </c>
      <c r="AD22" s="44"/>
      <c r="AE22" s="105">
        <v>1</v>
      </c>
      <c r="AF22" s="105">
        <v>1</v>
      </c>
      <c r="AG22" s="72">
        <f>MAX('Building Typology'!$AO22,'Building Typology'!$AW22)*AE22</f>
        <v>620.30337468749997</v>
      </c>
      <c r="AH22" s="72">
        <f>(('Building Typology'!$AR22*0.2928)/3.514)*AF22</f>
        <v>212.61678268341271</v>
      </c>
      <c r="AI22" s="101">
        <v>4594.0423932654539</v>
      </c>
      <c r="AJ22" s="101">
        <v>8750.0000000000018</v>
      </c>
      <c r="AK22" s="101">
        <v>8</v>
      </c>
      <c r="AL22" s="101">
        <v>0</v>
      </c>
      <c r="AM22" s="101">
        <v>3300</v>
      </c>
      <c r="AN22" s="101">
        <v>300000</v>
      </c>
      <c r="AO22" s="44"/>
      <c r="AP22" s="101">
        <v>29.282576866764277</v>
      </c>
      <c r="AQ22" s="101">
        <v>29.28257686676427</v>
      </c>
      <c r="AR22" s="106">
        <v>0</v>
      </c>
      <c r="AS22" s="101">
        <v>0</v>
      </c>
      <c r="AT22" s="101">
        <v>3000</v>
      </c>
      <c r="AU22" s="101">
        <v>0</v>
      </c>
      <c r="AV22" s="101">
        <v>1500000</v>
      </c>
      <c r="AW22" s="44"/>
      <c r="AX22" s="101">
        <v>57.5</v>
      </c>
      <c r="AY22" s="101">
        <v>57.499999999999993</v>
      </c>
      <c r="AZ22" s="101">
        <v>0</v>
      </c>
      <c r="BA22" s="101">
        <v>0</v>
      </c>
      <c r="BB22" s="101">
        <v>3000</v>
      </c>
      <c r="BC22" s="101">
        <v>0</v>
      </c>
      <c r="BD22" s="101">
        <v>0</v>
      </c>
      <c r="BE22" s="44"/>
    </row>
    <row r="23" spans="1:57" x14ac:dyDescent="0.3">
      <c r="A23" s="44" t="str">
        <f>IF('Building Typology'!A23=0," ",'Building Typology'!A23)</f>
        <v xml:space="preserve"> </v>
      </c>
      <c r="B23" s="44"/>
      <c r="C23" s="108"/>
      <c r="D23" s="108"/>
      <c r="E23" s="108"/>
      <c r="F23" s="108"/>
      <c r="G23" s="108"/>
      <c r="H23" s="108"/>
      <c r="I23" s="108"/>
      <c r="J23" s="44"/>
      <c r="K23" s="44"/>
      <c r="L23" s="44"/>
      <c r="M23" s="44"/>
      <c r="N23" s="44"/>
      <c r="O23" s="108"/>
      <c r="P23" s="108"/>
      <c r="Q23" s="108"/>
      <c r="R23" s="108"/>
      <c r="S23" s="44"/>
      <c r="T23" s="44"/>
      <c r="U23" s="44"/>
      <c r="V23" s="44"/>
      <c r="W23" s="44"/>
      <c r="X23" s="44"/>
      <c r="Y23" s="44"/>
      <c r="Z23" s="44"/>
      <c r="AA23" s="108"/>
      <c r="AB23" s="108"/>
      <c r="AC23" s="108"/>
      <c r="AD23" s="44"/>
      <c r="AE23" s="44"/>
      <c r="AF23" s="44"/>
      <c r="AG23" s="44"/>
      <c r="AH23" s="44"/>
      <c r="AI23" s="44"/>
      <c r="AJ23" s="44"/>
      <c r="AK23" s="44"/>
      <c r="AL23" s="108"/>
      <c r="AM23" s="108"/>
      <c r="AN23" s="108"/>
      <c r="AO23" s="44"/>
      <c r="AP23" s="108"/>
      <c r="AQ23" s="108"/>
      <c r="AR23" s="108"/>
      <c r="AS23" s="108"/>
      <c r="AT23" s="108"/>
      <c r="AU23" s="108"/>
      <c r="AV23" s="108"/>
      <c r="AW23" s="44"/>
      <c r="AX23" s="108"/>
      <c r="AY23" s="108"/>
      <c r="AZ23" s="108"/>
      <c r="BA23" s="108"/>
      <c r="BB23" s="108"/>
      <c r="BC23" s="108"/>
      <c r="BD23" s="108"/>
      <c r="BE23" s="44"/>
    </row>
    <row r="24" spans="1:57" ht="16.5" x14ac:dyDescent="0.3">
      <c r="A24" s="98" t="str">
        <f>IF('Building Typology'!A24=0," ",'Building Typology'!A24)</f>
        <v>RESIDENTIAL</v>
      </c>
      <c r="B24" s="44"/>
      <c r="C24" s="100"/>
      <c r="D24" s="100"/>
      <c r="E24" s="100"/>
      <c r="F24" s="100"/>
      <c r="G24" s="100"/>
      <c r="H24" s="100"/>
      <c r="I24" s="100"/>
      <c r="J24" s="44"/>
      <c r="K24" s="46"/>
      <c r="L24" s="46"/>
      <c r="M24" s="46"/>
      <c r="N24" s="46"/>
      <c r="O24" s="100"/>
      <c r="P24" s="100"/>
      <c r="Q24" s="100"/>
      <c r="R24" s="100"/>
      <c r="S24" s="44"/>
      <c r="T24" s="46"/>
      <c r="U24" s="46"/>
      <c r="V24" s="46"/>
      <c r="W24" s="46"/>
      <c r="X24" s="46"/>
      <c r="Y24" s="46"/>
      <c r="Z24" s="46"/>
      <c r="AA24" s="100"/>
      <c r="AB24" s="100"/>
      <c r="AC24" s="100"/>
      <c r="AD24" s="44"/>
      <c r="AE24" s="46"/>
      <c r="AF24" s="46"/>
      <c r="AG24" s="46"/>
      <c r="AH24" s="46"/>
      <c r="AI24" s="46"/>
      <c r="AJ24" s="46"/>
      <c r="AK24" s="46"/>
      <c r="AL24" s="100"/>
      <c r="AM24" s="100"/>
      <c r="AN24" s="100"/>
      <c r="AO24" s="44"/>
      <c r="AP24" s="100"/>
      <c r="AQ24" s="100"/>
      <c r="AR24" s="100"/>
      <c r="AS24" s="100"/>
      <c r="AT24" s="100"/>
      <c r="AU24" s="100"/>
      <c r="AV24" s="100"/>
      <c r="AW24" s="44"/>
      <c r="AX24" s="100"/>
      <c r="AY24" s="100"/>
      <c r="AZ24" s="100"/>
      <c r="BA24" s="100"/>
      <c r="BB24" s="100"/>
      <c r="BC24" s="100"/>
      <c r="BD24" s="100"/>
      <c r="BE24" s="44"/>
    </row>
    <row r="25" spans="1:57" ht="31.5" x14ac:dyDescent="0.3">
      <c r="A25" s="46" t="str">
        <f>IF('Building Typology'!A25=0," ",'Building Typology'!A25)</f>
        <v>Typical house
(Pitched Roof)(Int. Wall Reno)</v>
      </c>
      <c r="B25" s="44"/>
      <c r="C25" s="100"/>
      <c r="D25" s="100"/>
      <c r="E25" s="100"/>
      <c r="F25" s="100"/>
      <c r="G25" s="100"/>
      <c r="H25" s="100"/>
      <c r="I25" s="100"/>
      <c r="J25" s="44"/>
      <c r="K25" s="46"/>
      <c r="L25" s="46"/>
      <c r="M25" s="46"/>
      <c r="N25" s="46"/>
      <c r="O25" s="100"/>
      <c r="P25" s="100"/>
      <c r="Q25" s="100"/>
      <c r="R25" s="100"/>
      <c r="S25" s="44"/>
      <c r="T25" s="46"/>
      <c r="U25" s="46"/>
      <c r="V25" s="46"/>
      <c r="W25" s="46"/>
      <c r="X25" s="46"/>
      <c r="Y25" s="46"/>
      <c r="Z25" s="46"/>
      <c r="AA25" s="100"/>
      <c r="AB25" s="100"/>
      <c r="AC25" s="100"/>
      <c r="AD25" s="44"/>
      <c r="AE25" s="46"/>
      <c r="AF25" s="46"/>
      <c r="AG25" s="46"/>
      <c r="AH25" s="46"/>
      <c r="AI25" s="46"/>
      <c r="AJ25" s="46"/>
      <c r="AK25" s="46"/>
      <c r="AL25" s="100"/>
      <c r="AM25" s="100"/>
      <c r="AN25" s="100"/>
      <c r="AO25" s="44"/>
      <c r="AP25" s="100"/>
      <c r="AQ25" s="100"/>
      <c r="AR25" s="100"/>
      <c r="AS25" s="100"/>
      <c r="AT25" s="100"/>
      <c r="AU25" s="100"/>
      <c r="AV25" s="100"/>
      <c r="AW25" s="44"/>
      <c r="AX25" s="100"/>
      <c r="AY25" s="100"/>
      <c r="AZ25" s="100"/>
      <c r="BA25" s="100"/>
      <c r="BB25" s="100"/>
      <c r="BC25" s="100"/>
      <c r="BD25" s="100"/>
      <c r="BE25" s="44"/>
    </row>
    <row r="26" spans="1:57" ht="31.5" x14ac:dyDescent="0.3">
      <c r="A26" s="46" t="str">
        <f>IF('Building Typology'!A26=0," ",'Building Typology'!A26)</f>
        <v>Typical house
(Flat Roof)(Ext. Wall Reno)</v>
      </c>
      <c r="B26" s="44"/>
      <c r="C26" s="101">
        <v>253.90801731386077</v>
      </c>
      <c r="D26" s="101">
        <v>62.676748430574229</v>
      </c>
      <c r="E26" s="101">
        <v>0</v>
      </c>
      <c r="F26" s="101">
        <v>0</v>
      </c>
      <c r="G26" s="101">
        <v>2708.3521846811814</v>
      </c>
      <c r="H26" s="101">
        <v>0</v>
      </c>
      <c r="I26" s="101">
        <v>0</v>
      </c>
      <c r="J26" s="44"/>
      <c r="K26" s="72">
        <f>MAX('Building Typology'!$AO26,'Building Typology'!$AW26)</f>
        <v>6.8922597187499992</v>
      </c>
      <c r="L26" s="72">
        <f>('Building Typology'!$AR26*0.2928)/3.514</f>
        <v>3.3235549686966417</v>
      </c>
      <c r="M26" s="101">
        <v>1741.0835472950453</v>
      </c>
      <c r="N26" s="101">
        <v>3008.826420560626</v>
      </c>
      <c r="O26" s="101">
        <v>0</v>
      </c>
      <c r="P26" s="101">
        <v>0</v>
      </c>
      <c r="Q26" s="101">
        <v>0</v>
      </c>
      <c r="R26" s="101">
        <v>10000</v>
      </c>
      <c r="S26" s="44"/>
      <c r="T26" s="105">
        <v>1</v>
      </c>
      <c r="U26" s="105">
        <v>0.5</v>
      </c>
      <c r="V26" s="72">
        <f>'FS - Unitary Capital'!K26*T26</f>
        <v>6.8922597187499992</v>
      </c>
      <c r="W26" s="72">
        <f>'FS - Unitary Capital'!L26*U26</f>
        <v>1.6617774843483208</v>
      </c>
      <c r="X26" s="101">
        <v>1741.0835472950453</v>
      </c>
      <c r="Y26" s="101">
        <v>6017.6528411212521</v>
      </c>
      <c r="Z26" s="101">
        <v>0</v>
      </c>
      <c r="AA26" s="101">
        <v>0</v>
      </c>
      <c r="AB26" s="101">
        <v>0</v>
      </c>
      <c r="AC26" s="101">
        <v>10000</v>
      </c>
      <c r="AD26" s="44"/>
      <c r="AE26" s="105">
        <v>1</v>
      </c>
      <c r="AF26" s="105">
        <v>1</v>
      </c>
      <c r="AG26" s="72">
        <f>MAX('Building Typology'!$AO26,'Building Typology'!$AW26)*AE26</f>
        <v>6.8922597187499992</v>
      </c>
      <c r="AH26" s="72">
        <f>(('Building Typology'!$AR26*0.2928)/3.514)*AF26</f>
        <v>3.3235549686966417</v>
      </c>
      <c r="AI26" s="101">
        <v>870.54177364752263</v>
      </c>
      <c r="AJ26" s="101">
        <v>752.20660514015651</v>
      </c>
      <c r="AK26" s="101">
        <v>0</v>
      </c>
      <c r="AL26" s="101">
        <v>0</v>
      </c>
      <c r="AM26" s="101">
        <v>3300</v>
      </c>
      <c r="AN26" s="101">
        <v>10000</v>
      </c>
      <c r="AO26" s="44"/>
      <c r="AP26" s="101">
        <v>58.565153733528554</v>
      </c>
      <c r="AQ26" s="101">
        <v>30.084839246675632</v>
      </c>
      <c r="AR26" s="106">
        <v>0</v>
      </c>
      <c r="AS26" s="101">
        <v>0</v>
      </c>
      <c r="AT26" s="101">
        <v>2708.3521846811814</v>
      </c>
      <c r="AU26" s="101">
        <v>2400</v>
      </c>
      <c r="AV26" s="101">
        <v>25000</v>
      </c>
      <c r="AW26" s="44"/>
      <c r="AX26" s="101">
        <v>253.90801731386077</v>
      </c>
      <c r="AY26" s="101">
        <v>62.676748430574229</v>
      </c>
      <c r="AZ26" s="101">
        <v>0</v>
      </c>
      <c r="BA26" s="101">
        <v>0</v>
      </c>
      <c r="BB26" s="101">
        <v>2708.3521846811814</v>
      </c>
      <c r="BC26" s="101">
        <v>0</v>
      </c>
      <c r="BD26" s="101">
        <v>0</v>
      </c>
      <c r="BE26" s="44"/>
    </row>
    <row r="27" spans="1:57" x14ac:dyDescent="0.3">
      <c r="A27" s="44" t="str">
        <f>IF('Building Typology'!A27=0," ",'Building Typology'!A27)</f>
        <v xml:space="preserve"> </v>
      </c>
      <c r="B27" s="44"/>
      <c r="C27" s="108"/>
      <c r="D27" s="108"/>
      <c r="E27" s="108"/>
      <c r="F27" s="108"/>
      <c r="G27" s="108"/>
      <c r="H27" s="108"/>
      <c r="I27" s="108"/>
      <c r="J27" s="44"/>
      <c r="K27" s="44"/>
      <c r="L27" s="44"/>
      <c r="M27" s="44"/>
      <c r="N27" s="44"/>
      <c r="O27" s="108"/>
      <c r="P27" s="108"/>
      <c r="Q27" s="108"/>
      <c r="R27" s="108"/>
      <c r="S27" s="44"/>
      <c r="T27" s="44"/>
      <c r="U27" s="44"/>
      <c r="V27" s="44"/>
      <c r="W27" s="44"/>
      <c r="X27" s="44"/>
      <c r="Y27" s="44"/>
      <c r="Z27" s="44"/>
      <c r="AA27" s="108"/>
      <c r="AB27" s="108"/>
      <c r="AC27" s="108"/>
      <c r="AD27" s="44"/>
      <c r="AE27" s="44"/>
      <c r="AF27" s="44"/>
      <c r="AG27" s="44"/>
      <c r="AH27" s="44"/>
      <c r="AI27" s="44"/>
      <c r="AJ27" s="44"/>
      <c r="AK27" s="44"/>
      <c r="AL27" s="108"/>
      <c r="AM27" s="108"/>
      <c r="AN27" s="108"/>
      <c r="AO27" s="44"/>
      <c r="AP27" s="108"/>
      <c r="AQ27" s="108"/>
      <c r="AR27" s="108"/>
      <c r="AS27" s="108"/>
      <c r="AT27" s="108"/>
      <c r="AU27" s="108"/>
      <c r="AV27" s="108"/>
      <c r="AW27" s="44"/>
      <c r="AX27" s="108"/>
      <c r="AY27" s="108"/>
      <c r="AZ27" s="108"/>
      <c r="BA27" s="108"/>
      <c r="BB27" s="108"/>
      <c r="BC27" s="108"/>
      <c r="BD27" s="108"/>
      <c r="BE27" s="44"/>
    </row>
    <row r="28" spans="1:57" ht="16.5" x14ac:dyDescent="0.3">
      <c r="A28" s="98" t="str">
        <f>IF('Building Typology'!A28=0," ",'Building Typology'!A28)</f>
        <v>INSTITUTIONAL</v>
      </c>
      <c r="B28" s="44"/>
      <c r="C28" s="100"/>
      <c r="D28" s="100"/>
      <c r="E28" s="100"/>
      <c r="F28" s="100"/>
      <c r="G28" s="100"/>
      <c r="H28" s="100"/>
      <c r="I28" s="100"/>
      <c r="J28" s="44"/>
      <c r="K28" s="46"/>
      <c r="L28" s="46"/>
      <c r="M28" s="46"/>
      <c r="N28" s="46"/>
      <c r="O28" s="100"/>
      <c r="P28" s="100"/>
      <c r="Q28" s="100"/>
      <c r="R28" s="100"/>
      <c r="S28" s="44"/>
      <c r="T28" s="46"/>
      <c r="U28" s="46"/>
      <c r="V28" s="46"/>
      <c r="W28" s="46"/>
      <c r="X28" s="46"/>
      <c r="Y28" s="46"/>
      <c r="Z28" s="46"/>
      <c r="AA28" s="100"/>
      <c r="AB28" s="100"/>
      <c r="AC28" s="100"/>
      <c r="AD28" s="44"/>
      <c r="AE28" s="46"/>
      <c r="AF28" s="46"/>
      <c r="AG28" s="46"/>
      <c r="AH28" s="46"/>
      <c r="AI28" s="46"/>
      <c r="AJ28" s="46"/>
      <c r="AK28" s="46"/>
      <c r="AL28" s="100"/>
      <c r="AM28" s="100"/>
      <c r="AN28" s="100"/>
      <c r="AO28" s="44"/>
      <c r="AP28" s="100"/>
      <c r="AQ28" s="100"/>
      <c r="AR28" s="100"/>
      <c r="AS28" s="100"/>
      <c r="AT28" s="100"/>
      <c r="AU28" s="100"/>
      <c r="AV28" s="100"/>
      <c r="AW28" s="44"/>
      <c r="AX28" s="100"/>
      <c r="AY28" s="100"/>
      <c r="AZ28" s="100"/>
      <c r="BA28" s="100"/>
      <c r="BB28" s="100"/>
      <c r="BC28" s="100"/>
      <c r="BD28" s="100"/>
      <c r="BE28" s="44"/>
    </row>
    <row r="29" spans="1:57" x14ac:dyDescent="0.3">
      <c r="A29" s="46" t="str">
        <f>IF('Building Typology'!A29=0," ",'Building Typology'!A29)</f>
        <v>High water use hospital (inpatient)</v>
      </c>
      <c r="B29" s="44"/>
      <c r="C29" s="101">
        <v>0</v>
      </c>
      <c r="D29" s="101">
        <v>0</v>
      </c>
      <c r="E29" s="101">
        <v>0</v>
      </c>
      <c r="F29" s="101">
        <v>0</v>
      </c>
      <c r="G29" s="101">
        <v>0</v>
      </c>
      <c r="H29" s="101">
        <v>0</v>
      </c>
      <c r="I29" s="101">
        <v>0</v>
      </c>
      <c r="J29" s="44"/>
      <c r="K29" s="72">
        <f>MAX('Building Typology'!$AO29,'Building Typology'!$AW29)</f>
        <v>5583.5249999999996</v>
      </c>
      <c r="L29" s="72">
        <f>('Building Typology'!$AR29*0.2928)/3.514</f>
        <v>1059.6332221575776</v>
      </c>
      <c r="M29" s="101">
        <v>7000.0000000000009</v>
      </c>
      <c r="N29" s="101">
        <v>8750</v>
      </c>
      <c r="O29" s="101">
        <v>0</v>
      </c>
      <c r="P29" s="101">
        <v>0</v>
      </c>
      <c r="Q29" s="101">
        <v>1200000</v>
      </c>
      <c r="R29" s="101">
        <v>0</v>
      </c>
      <c r="S29" s="44"/>
      <c r="T29" s="105">
        <f>0.8*0.7</f>
        <v>0.55999999999999994</v>
      </c>
      <c r="U29" s="105">
        <v>0.5</v>
      </c>
      <c r="V29" s="72">
        <f>'FS - Unitary Capital'!K29*T29</f>
        <v>3126.7739999999994</v>
      </c>
      <c r="W29" s="72">
        <f>'FS - Unitary Capital'!L29*U29</f>
        <v>529.81661107878881</v>
      </c>
      <c r="X29" s="101">
        <v>7000</v>
      </c>
      <c r="Y29" s="101">
        <v>8750</v>
      </c>
      <c r="Z29" s="101">
        <v>0</v>
      </c>
      <c r="AA29" s="101">
        <v>0</v>
      </c>
      <c r="AB29" s="101">
        <v>1200000</v>
      </c>
      <c r="AC29" s="101">
        <v>0</v>
      </c>
      <c r="AD29" s="44"/>
      <c r="AE29" s="105">
        <v>1</v>
      </c>
      <c r="AF29" s="105">
        <v>1</v>
      </c>
      <c r="AG29" s="72">
        <f>MAX('Building Typology'!$AO29,'Building Typology'!$AW29)*AE29</f>
        <v>5583.5249999999996</v>
      </c>
      <c r="AH29" s="72">
        <f>(('Building Typology'!$AR29*0.2928)/3.514)*AF29</f>
        <v>1059.6332221575776</v>
      </c>
      <c r="AI29" s="101">
        <v>7000.0000000000009</v>
      </c>
      <c r="AJ29" s="101">
        <v>8750</v>
      </c>
      <c r="AK29" s="101">
        <v>0</v>
      </c>
      <c r="AL29" s="101">
        <v>0</v>
      </c>
      <c r="AM29" s="101">
        <v>3300</v>
      </c>
      <c r="AN29" s="101">
        <v>84000</v>
      </c>
      <c r="AO29" s="44"/>
      <c r="AP29" s="101">
        <v>29.282576866764273</v>
      </c>
      <c r="AQ29" s="101">
        <v>29.282576866764277</v>
      </c>
      <c r="AR29" s="106">
        <v>0</v>
      </c>
      <c r="AS29" s="101">
        <v>0</v>
      </c>
      <c r="AT29" s="101">
        <v>0</v>
      </c>
      <c r="AU29" s="101">
        <v>0</v>
      </c>
      <c r="AV29" s="101">
        <v>30000</v>
      </c>
      <c r="AW29" s="44"/>
      <c r="AX29" s="101">
        <v>0</v>
      </c>
      <c r="AY29" s="101">
        <v>0</v>
      </c>
      <c r="AZ29" s="101">
        <v>0</v>
      </c>
      <c r="BA29" s="101">
        <v>0</v>
      </c>
      <c r="BB29" s="101">
        <v>0</v>
      </c>
      <c r="BC29" s="101">
        <v>0</v>
      </c>
      <c r="BD29" s="101">
        <v>0</v>
      </c>
      <c r="BE29" s="44"/>
    </row>
    <row r="30" spans="1:57" x14ac:dyDescent="0.3">
      <c r="A30" s="46" t="str">
        <f>IF('Building Typology'!A30=0," ",'Building Typology'!A30)</f>
        <v>Low water use hospital (outpatient)</v>
      </c>
      <c r="B30" s="44"/>
      <c r="C30" s="101">
        <v>0</v>
      </c>
      <c r="D30" s="101">
        <v>0</v>
      </c>
      <c r="E30" s="101">
        <v>0</v>
      </c>
      <c r="F30" s="101">
        <v>0</v>
      </c>
      <c r="G30" s="101">
        <v>0</v>
      </c>
      <c r="H30" s="101">
        <v>0</v>
      </c>
      <c r="I30" s="101">
        <v>0</v>
      </c>
      <c r="J30" s="44"/>
      <c r="K30" s="72">
        <f>MAX('Building Typology'!$AO30,'Building Typology'!$AW30)</f>
        <v>5464</v>
      </c>
      <c r="L30" s="72">
        <f>('Building Typology'!$AR30*0.2928)/3.514</f>
        <v>286.69915002731238</v>
      </c>
      <c r="M30" s="101">
        <v>7000</v>
      </c>
      <c r="N30" s="101">
        <v>8750</v>
      </c>
      <c r="O30" s="101">
        <v>0</v>
      </c>
      <c r="P30" s="101">
        <v>0</v>
      </c>
      <c r="Q30" s="101">
        <v>1200000</v>
      </c>
      <c r="R30" s="101">
        <v>0</v>
      </c>
      <c r="S30" s="44"/>
      <c r="T30" s="105">
        <f>0.8*0.7</f>
        <v>0.55999999999999994</v>
      </c>
      <c r="U30" s="105">
        <v>0.5</v>
      </c>
      <c r="V30" s="72">
        <f>'FS - Unitary Capital'!K30*T30</f>
        <v>3059.8399999999997</v>
      </c>
      <c r="W30" s="72">
        <f>'FS - Unitary Capital'!L30*U30</f>
        <v>143.34957501365619</v>
      </c>
      <c r="X30" s="101">
        <v>6999.9999999999991</v>
      </c>
      <c r="Y30" s="101">
        <v>8750</v>
      </c>
      <c r="Z30" s="101">
        <v>0</v>
      </c>
      <c r="AA30" s="101">
        <v>0</v>
      </c>
      <c r="AB30" s="101">
        <v>1200000</v>
      </c>
      <c r="AC30" s="101">
        <v>0</v>
      </c>
      <c r="AD30" s="44"/>
      <c r="AE30" s="105">
        <v>1</v>
      </c>
      <c r="AF30" s="105">
        <v>1</v>
      </c>
      <c r="AG30" s="72">
        <f>MAX('Building Typology'!$AO30,'Building Typology'!$AW30)*AE30</f>
        <v>5464</v>
      </c>
      <c r="AH30" s="72">
        <f>(('Building Typology'!$AR30*0.2928)/3.514)*AF30</f>
        <v>286.69915002731238</v>
      </c>
      <c r="AI30" s="101">
        <v>7000</v>
      </c>
      <c r="AJ30" s="101">
        <v>8750</v>
      </c>
      <c r="AK30" s="101">
        <v>0</v>
      </c>
      <c r="AL30" s="101">
        <v>0</v>
      </c>
      <c r="AM30" s="101">
        <v>3300</v>
      </c>
      <c r="AN30" s="101">
        <v>84000</v>
      </c>
      <c r="AO30" s="44"/>
      <c r="AP30" s="101">
        <v>29.282576866764277</v>
      </c>
      <c r="AQ30" s="101">
        <v>29.282576866764277</v>
      </c>
      <c r="AR30" s="106">
        <v>0</v>
      </c>
      <c r="AS30" s="101">
        <v>0</v>
      </c>
      <c r="AT30" s="101">
        <v>0</v>
      </c>
      <c r="AU30" s="101">
        <v>0</v>
      </c>
      <c r="AV30" s="101">
        <v>30000</v>
      </c>
      <c r="AW30" s="44"/>
      <c r="AX30" s="101">
        <v>0</v>
      </c>
      <c r="AY30" s="101">
        <v>0</v>
      </c>
      <c r="AZ30" s="101">
        <v>0</v>
      </c>
      <c r="BA30" s="101">
        <v>0</v>
      </c>
      <c r="BB30" s="101">
        <v>0</v>
      </c>
      <c r="BC30" s="101">
        <v>0</v>
      </c>
      <c r="BD30" s="101">
        <v>0</v>
      </c>
      <c r="BE30" s="44"/>
    </row>
    <row r="31" spans="1:57" x14ac:dyDescent="0.3">
      <c r="A31" s="46" t="str">
        <f>IF('Building Typology'!A31=0," ",'Building Typology'!A31)</f>
        <v>Assembly &amp; educational</v>
      </c>
      <c r="B31" s="44"/>
      <c r="C31" s="101">
        <v>0</v>
      </c>
      <c r="D31" s="101">
        <v>0</v>
      </c>
      <c r="E31" s="101">
        <v>0</v>
      </c>
      <c r="F31" s="101">
        <v>0</v>
      </c>
      <c r="G31" s="101">
        <v>0</v>
      </c>
      <c r="H31" s="101">
        <v>0</v>
      </c>
      <c r="I31" s="101">
        <v>0</v>
      </c>
      <c r="J31" s="44"/>
      <c r="K31" s="72">
        <f>MAX('Building Typology'!$AO31,'Building Typology'!$AW31)</f>
        <v>0</v>
      </c>
      <c r="L31" s="72">
        <f>('Building Typology'!$AR31*0.2928)/3.514</f>
        <v>0</v>
      </c>
      <c r="M31" s="101">
        <v>0</v>
      </c>
      <c r="N31" s="101">
        <v>0</v>
      </c>
      <c r="O31" s="101">
        <v>0</v>
      </c>
      <c r="P31" s="101">
        <v>0</v>
      </c>
      <c r="Q31" s="101">
        <v>0</v>
      </c>
      <c r="R31" s="101">
        <v>0</v>
      </c>
      <c r="S31" s="44"/>
      <c r="T31" s="105"/>
      <c r="U31" s="105"/>
      <c r="V31" s="72">
        <f>'FS - Unitary Capital'!K31*T31</f>
        <v>0</v>
      </c>
      <c r="W31" s="72">
        <f>'FS - Unitary Capital'!L31*U31</f>
        <v>0</v>
      </c>
      <c r="X31" s="101">
        <v>0</v>
      </c>
      <c r="Y31" s="101">
        <v>0</v>
      </c>
      <c r="Z31" s="101">
        <v>0</v>
      </c>
      <c r="AA31" s="101">
        <v>0</v>
      </c>
      <c r="AB31" s="101">
        <v>0</v>
      </c>
      <c r="AC31" s="101">
        <v>0</v>
      </c>
      <c r="AD31" s="44"/>
      <c r="AE31" s="105">
        <v>1</v>
      </c>
      <c r="AF31" s="105">
        <v>1</v>
      </c>
      <c r="AG31" s="72">
        <f>MAX('Building Typology'!$AO31,'Building Typology'!$AW31)*AE31</f>
        <v>0</v>
      </c>
      <c r="AH31" s="72">
        <f>(('Building Typology'!$AR31*0.2928)/3.514)*AF31</f>
        <v>0</v>
      </c>
      <c r="AI31" s="101">
        <v>0</v>
      </c>
      <c r="AJ31" s="101">
        <v>0</v>
      </c>
      <c r="AK31" s="101">
        <v>0</v>
      </c>
      <c r="AL31" s="101">
        <v>0</v>
      </c>
      <c r="AM31" s="101">
        <v>0</v>
      </c>
      <c r="AN31" s="101">
        <v>0</v>
      </c>
      <c r="AO31" s="44"/>
      <c r="AP31" s="101">
        <v>0</v>
      </c>
      <c r="AQ31" s="101">
        <v>0</v>
      </c>
      <c r="AR31" s="106">
        <v>0</v>
      </c>
      <c r="AS31" s="101">
        <v>0</v>
      </c>
      <c r="AT31" s="101">
        <v>0</v>
      </c>
      <c r="AU31" s="101">
        <v>0</v>
      </c>
      <c r="AV31" s="101">
        <v>0</v>
      </c>
      <c r="AW31" s="44"/>
      <c r="AX31" s="101">
        <v>0</v>
      </c>
      <c r="AY31" s="101">
        <v>0</v>
      </c>
      <c r="AZ31" s="101">
        <v>0</v>
      </c>
      <c r="BA31" s="101">
        <v>0</v>
      </c>
      <c r="BB31" s="101">
        <v>0</v>
      </c>
      <c r="BC31" s="101">
        <v>0</v>
      </c>
      <c r="BD31" s="101">
        <v>0</v>
      </c>
      <c r="BE31" s="44"/>
    </row>
    <row r="32" spans="1:57" x14ac:dyDescent="0.3">
      <c r="A32" s="44" t="str">
        <f>IF('Building Typology'!A32=0," ",'Building Typology'!A32)</f>
        <v xml:space="preserve"> </v>
      </c>
      <c r="B32" s="44"/>
      <c r="C32" s="108"/>
      <c r="D32" s="108"/>
      <c r="E32" s="108"/>
      <c r="F32" s="108"/>
      <c r="G32" s="108"/>
      <c r="H32" s="108"/>
      <c r="I32" s="108"/>
      <c r="J32" s="44"/>
      <c r="K32" s="44"/>
      <c r="L32" s="44"/>
      <c r="M32" s="44"/>
      <c r="N32" s="108"/>
      <c r="O32" s="108"/>
      <c r="P32" s="108"/>
      <c r="Q32" s="108"/>
      <c r="R32" s="108"/>
      <c r="S32" s="44"/>
      <c r="T32" s="44"/>
      <c r="U32" s="44"/>
      <c r="V32" s="44"/>
      <c r="W32" s="44"/>
      <c r="X32" s="108"/>
      <c r="Y32" s="108"/>
      <c r="Z32" s="108"/>
      <c r="AA32" s="108"/>
      <c r="AB32" s="108"/>
      <c r="AC32" s="108"/>
      <c r="AD32" s="44"/>
      <c r="AE32" s="44"/>
      <c r="AF32" s="44"/>
      <c r="AG32" s="44"/>
      <c r="AH32" s="44"/>
      <c r="AI32" s="44"/>
      <c r="AJ32" s="44"/>
      <c r="AK32" s="44"/>
      <c r="AL32" s="108"/>
      <c r="AM32" s="108"/>
      <c r="AN32" s="108"/>
      <c r="AO32" s="44"/>
      <c r="AP32" s="108"/>
      <c r="AQ32" s="108"/>
      <c r="AR32" s="108"/>
      <c r="AS32" s="108"/>
      <c r="AT32" s="108"/>
      <c r="AU32" s="108"/>
      <c r="AV32" s="108"/>
      <c r="AW32" s="44"/>
      <c r="AX32" s="108"/>
      <c r="AY32" s="108"/>
      <c r="AZ32" s="108"/>
      <c r="BA32" s="108"/>
      <c r="BB32" s="108"/>
      <c r="BC32" s="108"/>
      <c r="BD32" s="108"/>
      <c r="BE32" s="44"/>
    </row>
  </sheetData>
  <mergeCells count="1">
    <mergeCell ref="A1:A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E8AA-8BD9-4904-9CC1-E09D72ADB3F7}">
  <sheetPr>
    <tabColor theme="7" tint="0.59999389629810485"/>
  </sheetPr>
  <dimension ref="A1:BG32"/>
  <sheetViews>
    <sheetView showGridLines="0" tabSelected="1" zoomScale="80" zoomScaleNormal="80" workbookViewId="0">
      <pane xSplit="2" ySplit="3" topLeftCell="C4" activePane="bottomRight" state="frozen"/>
      <selection pane="topRight" activeCell="C1" sqref="C1"/>
      <selection pane="bottomLeft" activeCell="A4" sqref="A4"/>
      <selection pane="bottomRight" activeCell="T5" sqref="T5"/>
    </sheetView>
    <sheetView zoomScale="80" zoomScaleNormal="80" workbookViewId="1">
      <selection activeCell="AW1" sqref="AW1:AW1048576"/>
    </sheetView>
  </sheetViews>
  <sheetFormatPr defaultColWidth="8.77734375" defaultRowHeight="15.75" outlineLevelCol="1" x14ac:dyDescent="0.3"/>
  <cols>
    <col min="1" max="1" width="35.6640625" style="10" customWidth="1"/>
    <col min="2" max="2" width="2.6640625" style="10" customWidth="1"/>
    <col min="3" max="9" width="11.77734375" style="13" customWidth="1" outlineLevel="1"/>
    <col min="10" max="10" width="11.77734375" style="10" customWidth="1" outlineLevel="1"/>
    <col min="11" max="11" width="12.109375" style="13" bestFit="1" customWidth="1" outlineLevel="1"/>
    <col min="12" max="12" width="2.6640625" style="10" customWidth="1"/>
    <col min="13" max="19" width="11.77734375" style="10" customWidth="1" outlineLevel="1"/>
    <col min="20" max="20" width="13.33203125" style="10" bestFit="1" customWidth="1" outlineLevel="1"/>
    <col min="21" max="21" width="2.6640625" style="10" customWidth="1"/>
    <col min="22" max="28" width="11.77734375" style="10" customWidth="1" outlineLevel="1"/>
    <col min="29" max="29" width="13.33203125" style="10" bestFit="1" customWidth="1" outlineLevel="1"/>
    <col min="30" max="30" width="2.6640625" style="10" customWidth="1"/>
    <col min="31" max="37" width="11.77734375" style="10" customWidth="1" outlineLevel="1"/>
    <col min="38" max="38" width="14.44140625" style="10" bestFit="1" customWidth="1" outlineLevel="1"/>
    <col min="39" max="39" width="2.6640625" style="10" customWidth="1"/>
    <col min="40" max="46" width="11.77734375" style="13" customWidth="1" outlineLevel="1"/>
    <col min="47" max="47" width="11.77734375" style="10" customWidth="1" outlineLevel="1"/>
    <col min="48" max="48" width="12.109375" style="13" bestFit="1" customWidth="1" outlineLevel="1"/>
    <col min="49" max="49" width="2.6640625" style="10" customWidth="1"/>
    <col min="50" max="56" width="11.77734375" style="13" customWidth="1" outlineLevel="1"/>
    <col min="57" max="57" width="11.77734375" style="10" customWidth="1" outlineLevel="1"/>
    <col min="58" max="58" width="12.109375" style="13" bestFit="1" customWidth="1" outlineLevel="1"/>
    <col min="59" max="59" width="2.6640625" style="10" customWidth="1"/>
    <col min="60" max="16384" width="8.77734375" style="10"/>
  </cols>
  <sheetData>
    <row r="1" spans="1:59" ht="57" customHeight="1" x14ac:dyDescent="0.3">
      <c r="A1" s="316" t="s">
        <v>39</v>
      </c>
      <c r="B1" s="9"/>
      <c r="C1" s="61" t="s">
        <v>311</v>
      </c>
      <c r="D1" s="61"/>
      <c r="E1" s="61"/>
      <c r="F1" s="61"/>
      <c r="G1" s="61"/>
      <c r="H1" s="61"/>
      <c r="I1" s="61"/>
      <c r="J1" s="61"/>
      <c r="K1" s="61"/>
      <c r="L1" s="9"/>
      <c r="M1" s="61" t="s">
        <v>77</v>
      </c>
      <c r="N1" s="61"/>
      <c r="O1" s="61"/>
      <c r="P1" s="61"/>
      <c r="Q1" s="61"/>
      <c r="R1" s="61"/>
      <c r="S1" s="61"/>
      <c r="T1" s="61"/>
      <c r="U1" s="9"/>
      <c r="V1" s="61" t="s">
        <v>78</v>
      </c>
      <c r="W1" s="61"/>
      <c r="X1" s="61"/>
      <c r="Y1" s="61"/>
      <c r="Z1" s="61"/>
      <c r="AA1" s="61"/>
      <c r="AB1" s="61"/>
      <c r="AC1" s="61"/>
      <c r="AD1" s="9"/>
      <c r="AE1" s="61" t="s">
        <v>79</v>
      </c>
      <c r="AF1" s="61"/>
      <c r="AG1" s="61"/>
      <c r="AH1" s="61"/>
      <c r="AI1" s="61"/>
      <c r="AJ1" s="61"/>
      <c r="AK1" s="61"/>
      <c r="AL1" s="61"/>
      <c r="AM1" s="9"/>
      <c r="AN1" s="61" t="s">
        <v>76</v>
      </c>
      <c r="AO1" s="61"/>
      <c r="AP1" s="61"/>
      <c r="AQ1" s="61"/>
      <c r="AR1" s="61"/>
      <c r="AS1" s="61"/>
      <c r="AT1" s="61"/>
      <c r="AU1" s="61"/>
      <c r="AV1" s="61"/>
      <c r="AW1" s="9"/>
      <c r="AX1" s="61" t="s">
        <v>75</v>
      </c>
      <c r="AY1" s="61"/>
      <c r="AZ1" s="61"/>
      <c r="BA1" s="61"/>
      <c r="BB1" s="61"/>
      <c r="BC1" s="61"/>
      <c r="BD1" s="61"/>
      <c r="BE1" s="61"/>
      <c r="BF1" s="61"/>
      <c r="BG1" s="9"/>
    </row>
    <row r="2" spans="1:59" s="8" customFormat="1" ht="63" x14ac:dyDescent="0.3">
      <c r="A2" s="316"/>
      <c r="B2" s="9"/>
      <c r="C2" s="214" t="s">
        <v>334</v>
      </c>
      <c r="D2" s="214" t="s">
        <v>335</v>
      </c>
      <c r="E2" s="214" t="s">
        <v>336</v>
      </c>
      <c r="F2" s="214" t="s">
        <v>337</v>
      </c>
      <c r="G2" s="214" t="s">
        <v>338</v>
      </c>
      <c r="H2" s="214" t="s">
        <v>178</v>
      </c>
      <c r="I2" s="214" t="s">
        <v>179</v>
      </c>
      <c r="J2" s="214" t="s">
        <v>180</v>
      </c>
      <c r="K2" s="214" t="s">
        <v>181</v>
      </c>
      <c r="L2" s="213"/>
      <c r="M2" s="214" t="s">
        <v>334</v>
      </c>
      <c r="N2" s="214" t="s">
        <v>335</v>
      </c>
      <c r="O2" s="214" t="s">
        <v>336</v>
      </c>
      <c r="P2" s="214" t="s">
        <v>337</v>
      </c>
      <c r="Q2" s="214" t="s">
        <v>178</v>
      </c>
      <c r="R2" s="214" t="s">
        <v>179</v>
      </c>
      <c r="S2" s="214" t="s">
        <v>180</v>
      </c>
      <c r="T2" s="214" t="s">
        <v>181</v>
      </c>
      <c r="U2" s="213"/>
      <c r="V2" s="214" t="s">
        <v>334</v>
      </c>
      <c r="W2" s="214" t="s">
        <v>335</v>
      </c>
      <c r="X2" s="214" t="s">
        <v>336</v>
      </c>
      <c r="Y2" s="214" t="s">
        <v>337</v>
      </c>
      <c r="Z2" s="214" t="s">
        <v>178</v>
      </c>
      <c r="AA2" s="214" t="s">
        <v>179</v>
      </c>
      <c r="AB2" s="214" t="s">
        <v>180</v>
      </c>
      <c r="AC2" s="214" t="s">
        <v>181</v>
      </c>
      <c r="AD2" s="213"/>
      <c r="AE2" s="214" t="s">
        <v>334</v>
      </c>
      <c r="AF2" s="214" t="s">
        <v>335</v>
      </c>
      <c r="AG2" s="214" t="s">
        <v>336</v>
      </c>
      <c r="AH2" s="214" t="s">
        <v>337</v>
      </c>
      <c r="AI2" s="214" t="s">
        <v>183</v>
      </c>
      <c r="AJ2" s="214" t="s">
        <v>179</v>
      </c>
      <c r="AK2" s="214" t="s">
        <v>180</v>
      </c>
      <c r="AL2" s="214" t="s">
        <v>181</v>
      </c>
      <c r="AM2" s="213"/>
      <c r="AN2" s="214" t="s">
        <v>334</v>
      </c>
      <c r="AO2" s="214" t="s">
        <v>335</v>
      </c>
      <c r="AP2" s="214" t="s">
        <v>336</v>
      </c>
      <c r="AQ2" s="214" t="s">
        <v>337</v>
      </c>
      <c r="AR2" s="214" t="s">
        <v>338</v>
      </c>
      <c r="AS2" s="214" t="s">
        <v>178</v>
      </c>
      <c r="AT2" s="214" t="s">
        <v>179</v>
      </c>
      <c r="AU2" s="214" t="s">
        <v>180</v>
      </c>
      <c r="AV2" s="214" t="s">
        <v>181</v>
      </c>
      <c r="AW2" s="213"/>
      <c r="AX2" s="214" t="s">
        <v>334</v>
      </c>
      <c r="AY2" s="214" t="s">
        <v>335</v>
      </c>
      <c r="AZ2" s="214" t="s">
        <v>336</v>
      </c>
      <c r="BA2" s="214" t="s">
        <v>337</v>
      </c>
      <c r="BB2" s="214" t="s">
        <v>338</v>
      </c>
      <c r="BC2" s="214" t="s">
        <v>178</v>
      </c>
      <c r="BD2" s="214" t="s">
        <v>179</v>
      </c>
      <c r="BE2" s="214" t="s">
        <v>180</v>
      </c>
      <c r="BF2" s="214" t="s">
        <v>181</v>
      </c>
      <c r="BG2" s="213"/>
    </row>
    <row r="3" spans="1:59" s="8" customFormat="1" x14ac:dyDescent="0.3">
      <c r="A3" s="20" t="s">
        <v>15</v>
      </c>
      <c r="B3" s="20"/>
      <c r="C3" s="215" t="s">
        <v>184</v>
      </c>
      <c r="D3" s="215" t="s">
        <v>184</v>
      </c>
      <c r="E3" s="215" t="s">
        <v>184</v>
      </c>
      <c r="F3" s="215" t="s">
        <v>184</v>
      </c>
      <c r="G3" s="215" t="s">
        <v>184</v>
      </c>
      <c r="H3" s="215" t="s">
        <v>184</v>
      </c>
      <c r="I3" s="215" t="s">
        <v>184</v>
      </c>
      <c r="J3" s="215" t="s">
        <v>184</v>
      </c>
      <c r="K3" s="215" t="s">
        <v>184</v>
      </c>
      <c r="L3" s="213"/>
      <c r="M3" s="215" t="s">
        <v>184</v>
      </c>
      <c r="N3" s="215" t="s">
        <v>184</v>
      </c>
      <c r="O3" s="215" t="s">
        <v>184</v>
      </c>
      <c r="P3" s="215" t="s">
        <v>184</v>
      </c>
      <c r="Q3" s="215" t="s">
        <v>184</v>
      </c>
      <c r="R3" s="215" t="s">
        <v>184</v>
      </c>
      <c r="S3" s="215" t="s">
        <v>184</v>
      </c>
      <c r="T3" s="215" t="s">
        <v>184</v>
      </c>
      <c r="U3" s="213"/>
      <c r="V3" s="215" t="s">
        <v>184</v>
      </c>
      <c r="W3" s="215" t="s">
        <v>184</v>
      </c>
      <c r="X3" s="215" t="s">
        <v>184</v>
      </c>
      <c r="Y3" s="215" t="s">
        <v>184</v>
      </c>
      <c r="Z3" s="215" t="s">
        <v>184</v>
      </c>
      <c r="AA3" s="215" t="s">
        <v>184</v>
      </c>
      <c r="AB3" s="215" t="s">
        <v>184</v>
      </c>
      <c r="AC3" s="215" t="s">
        <v>184</v>
      </c>
      <c r="AD3" s="213"/>
      <c r="AE3" s="215" t="s">
        <v>184</v>
      </c>
      <c r="AF3" s="215" t="s">
        <v>184</v>
      </c>
      <c r="AG3" s="215" t="s">
        <v>184</v>
      </c>
      <c r="AH3" s="215" t="s">
        <v>184</v>
      </c>
      <c r="AI3" s="215" t="s">
        <v>184</v>
      </c>
      <c r="AJ3" s="215" t="s">
        <v>184</v>
      </c>
      <c r="AK3" s="215" t="s">
        <v>184</v>
      </c>
      <c r="AL3" s="215" t="s">
        <v>184</v>
      </c>
      <c r="AM3" s="213"/>
      <c r="AN3" s="215" t="s">
        <v>184</v>
      </c>
      <c r="AO3" s="215" t="s">
        <v>184</v>
      </c>
      <c r="AP3" s="215" t="s">
        <v>184</v>
      </c>
      <c r="AQ3" s="215" t="s">
        <v>184</v>
      </c>
      <c r="AR3" s="215" t="s">
        <v>184</v>
      </c>
      <c r="AS3" s="215" t="s">
        <v>184</v>
      </c>
      <c r="AT3" s="215" t="s">
        <v>184</v>
      </c>
      <c r="AU3" s="215" t="s">
        <v>184</v>
      </c>
      <c r="AV3" s="215" t="s">
        <v>184</v>
      </c>
      <c r="AW3" s="213"/>
      <c r="AX3" s="215" t="s">
        <v>184</v>
      </c>
      <c r="AY3" s="215" t="s">
        <v>184</v>
      </c>
      <c r="AZ3" s="215" t="s">
        <v>184</v>
      </c>
      <c r="BA3" s="215" t="s">
        <v>184</v>
      </c>
      <c r="BB3" s="215" t="s">
        <v>184</v>
      </c>
      <c r="BC3" s="215" t="s">
        <v>184</v>
      </c>
      <c r="BD3" s="215" t="s">
        <v>184</v>
      </c>
      <c r="BE3" s="215" t="s">
        <v>184</v>
      </c>
      <c r="BF3" s="215" t="s">
        <v>184</v>
      </c>
      <c r="BG3" s="213"/>
    </row>
    <row r="4" spans="1:59" ht="20.25" customHeight="1" x14ac:dyDescent="0.3">
      <c r="A4" s="98" t="str">
        <f>IF('Building Typology'!A4=0," ",'Building Typology'!A4)</f>
        <v>OFFICE</v>
      </c>
      <c r="B4" s="44"/>
      <c r="C4" s="100"/>
      <c r="D4" s="100"/>
      <c r="E4" s="100"/>
      <c r="F4" s="100"/>
      <c r="G4" s="100"/>
      <c r="H4" s="100"/>
      <c r="I4" s="100"/>
      <c r="J4" s="100"/>
      <c r="K4" s="100"/>
      <c r="L4" s="44"/>
      <c r="M4" s="100"/>
      <c r="N4" s="100"/>
      <c r="O4" s="100"/>
      <c r="P4" s="100"/>
      <c r="Q4" s="100"/>
      <c r="R4" s="100"/>
      <c r="S4" s="100"/>
      <c r="T4" s="100"/>
      <c r="U4" s="44"/>
      <c r="V4" s="100"/>
      <c r="W4" s="100"/>
      <c r="X4" s="100"/>
      <c r="Y4" s="100"/>
      <c r="Z4" s="100"/>
      <c r="AA4" s="100"/>
      <c r="AB4" s="100"/>
      <c r="AC4" s="100"/>
      <c r="AD4" s="44"/>
      <c r="AE4" s="100"/>
      <c r="AF4" s="100"/>
      <c r="AG4" s="100"/>
      <c r="AH4" s="100"/>
      <c r="AI4" s="100"/>
      <c r="AJ4" s="100"/>
      <c r="AK4" s="100"/>
      <c r="AL4" s="269"/>
      <c r="AM4" s="44"/>
      <c r="AN4" s="100"/>
      <c r="AO4" s="100"/>
      <c r="AP4" s="100"/>
      <c r="AQ4" s="100"/>
      <c r="AR4" s="100"/>
      <c r="AS4" s="100"/>
      <c r="AT4" s="100"/>
      <c r="AU4" s="100"/>
      <c r="AV4" s="100"/>
      <c r="AW4" s="44"/>
      <c r="AX4" s="100"/>
      <c r="AY4" s="100"/>
      <c r="AZ4" s="100"/>
      <c r="BA4" s="100"/>
      <c r="BB4" s="100"/>
      <c r="BC4" s="100"/>
      <c r="BD4" s="100"/>
      <c r="BE4" s="100"/>
      <c r="BF4" s="100"/>
      <c r="BG4" s="44"/>
    </row>
    <row r="5" spans="1:59" x14ac:dyDescent="0.3">
      <c r="A5" s="46" t="str">
        <f>IF('Building Typology'!A5=0," ",'Building Typology'!A5)</f>
        <v>Class 'A' - gas boiler</v>
      </c>
      <c r="B5" s="44"/>
      <c r="C5" s="103">
        <f>'Building Typology'!Y5*'FS - Unitary Capital'!C5</f>
        <v>473452.29428000003</v>
      </c>
      <c r="D5" s="103">
        <f>'Building Typology'!AC5*'FS - Unitary Capital'!D5</f>
        <v>78777.696297000002</v>
      </c>
      <c r="E5" s="103">
        <f>'Building Typology'!$AX5*'FS - Unitary Capital'!E5</f>
        <v>0</v>
      </c>
      <c r="F5" s="103">
        <f>'Building Typology'!$AY5*'FS - Unitary Capital'!F5</f>
        <v>0</v>
      </c>
      <c r="G5" s="103">
        <f>'Building Typology'!AH5*'FS - Unitary Capital'!G5</f>
        <v>2315799.2655000002</v>
      </c>
      <c r="H5" s="103">
        <f>'FS - Unitary Capital'!H5</f>
        <v>0</v>
      </c>
      <c r="I5" s="103">
        <f>'FS - Unitary Capital'!I5</f>
        <v>0</v>
      </c>
      <c r="J5" s="100">
        <f>SUM(C5,D5,E5,F5,G5,H5,I5)</f>
        <v>2868029.2560770004</v>
      </c>
      <c r="K5" s="269">
        <f>J5*'Global Inputs'!$E$27</f>
        <v>4699265.9360821657</v>
      </c>
      <c r="L5" s="44"/>
      <c r="M5" s="103">
        <f>'FS - Unitary Capital'!K5*'FS - Unitary Capital'!M5</f>
        <v>5403531.6195</v>
      </c>
      <c r="N5" s="103">
        <f>'FS - Unitary Capital'!L5*'FS - Unitary Capital'!N5</f>
        <v>347141.78349590447</v>
      </c>
      <c r="O5" s="103">
        <f>'Building Typology'!AX5*'FS - Unitary Capital'!O5</f>
        <v>0</v>
      </c>
      <c r="P5" s="103">
        <f>'Building Typology'!AY5*'FS - Unitary Capital'!P5</f>
        <v>0</v>
      </c>
      <c r="Q5" s="103">
        <f>'FS - Unitary Capital'!Q5</f>
        <v>1200000</v>
      </c>
      <c r="R5" s="103">
        <f>'FS - Unitary Capital'!R5</f>
        <v>750000</v>
      </c>
      <c r="S5" s="100">
        <f>SUM(M5,N5,O5,P5,Q5,R5)</f>
        <v>7700673.4029959049</v>
      </c>
      <c r="T5" s="269">
        <f>S5*'Global Inputs'!$E$27</f>
        <v>12617553.370808791</v>
      </c>
      <c r="U5" s="44"/>
      <c r="V5" s="100">
        <f>'FS - Unitary Capital'!V5*'FS - Unitary Capital'!X5</f>
        <v>3025977.7069199998</v>
      </c>
      <c r="W5" s="100">
        <f>'FS - Unitary Capital'!W5*'FS - Unitary Capital'!Y5</f>
        <v>42760</v>
      </c>
      <c r="X5" s="100">
        <f>'Building Typology'!AX5*'FS - Unitary Capital'!Z5</f>
        <v>0</v>
      </c>
      <c r="Y5" s="100">
        <f>'Building Typology'!AY5*'FS - Unitary Capital'!AA5</f>
        <v>0</v>
      </c>
      <c r="Z5" s="100">
        <f>'FS - Unitary Capital'!AB5</f>
        <v>770000</v>
      </c>
      <c r="AA5" s="100">
        <f>'FS - Unitary Capital'!AC5</f>
        <v>750000</v>
      </c>
      <c r="AB5" s="100">
        <f>SUM(V5,W5,X5,Y5,Z5,AA5)</f>
        <v>4588737.7069199998</v>
      </c>
      <c r="AC5" s="269">
        <f>AB5*'Global Inputs'!$E$27</f>
        <v>7518646.7327884203</v>
      </c>
      <c r="AD5" s="44"/>
      <c r="AE5" s="103">
        <f>'FS - Unitary Capital'!AG5*'FS - Unitary Capital'!AI5</f>
        <v>5789498.1637500003</v>
      </c>
      <c r="AF5" s="103">
        <f>'FS - Unitary Capital'!AH5*'FS - Unitary Capital'!AJ5</f>
        <v>195267.25321644626</v>
      </c>
      <c r="AG5" s="103">
        <f>'Building Typology'!AX5*'FS - Unitary Capital'!AK5</f>
        <v>0</v>
      </c>
      <c r="AH5" s="103">
        <f>'Building Typology'!AY5*'FS - Unitary Capital'!AL5</f>
        <v>0</v>
      </c>
      <c r="AI5" s="100">
        <f>'FS - Unitary Capital'!AM5*'FS - Unitary Capital'!AG5</f>
        <v>2547379.1920500002</v>
      </c>
      <c r="AJ5" s="103">
        <f>'FS - Unitary Capital'!AN5</f>
        <v>300000</v>
      </c>
      <c r="AK5" s="100">
        <f>SUM(AE5,AF5,AG5,AH5,AI5,AJ5)</f>
        <v>8832144.6090164464</v>
      </c>
      <c r="AL5" s="269">
        <f>AK5*'Global Inputs'!$E$27</f>
        <v>14471468.941873448</v>
      </c>
      <c r="AM5" s="44"/>
      <c r="AN5" s="100">
        <f>'Building Typology'!$AN5*'FS - Unitary Capital'!AP5</f>
        <v>241111.36000000002</v>
      </c>
      <c r="AO5" s="100">
        <f>'Building Typology'!$AR5*'FS - Unitary Capital'!AQ5</f>
        <v>21785.064000000002</v>
      </c>
      <c r="AP5" s="100">
        <f>'Building Typology'!AX5*'FS - Unitary Capital'!AR5</f>
        <v>0</v>
      </c>
      <c r="AQ5" s="100">
        <f>'Building Typology'!AY5*'FS - Unitary Capital'!AS5</f>
        <v>0</v>
      </c>
      <c r="AR5" s="100">
        <f>'Building Typology'!$AW5*'FS - Unitary Capital'!AT5</f>
        <v>2315799.2655000002</v>
      </c>
      <c r="AS5" s="100">
        <f>'FS - Unitary Capital'!AU5</f>
        <v>0</v>
      </c>
      <c r="AT5" s="100">
        <f>'FS - Unitary Capital'!AV5</f>
        <v>1500000</v>
      </c>
      <c r="AU5" s="100">
        <f>SUM(AN5,AO5,AP5,AQ5,AR5,AS5,AT5)</f>
        <v>4078695.6895000003</v>
      </c>
      <c r="AV5" s="269">
        <f>AU5*'Global Inputs'!$E$27</f>
        <v>6682942.887245751</v>
      </c>
      <c r="AW5" s="44"/>
      <c r="AX5" s="100">
        <f>'Building Typology'!$AN5*'FS - Unitary Capital'!AX5</f>
        <v>473452.29428000003</v>
      </c>
      <c r="AY5" s="100">
        <f>'Building Typology'!$AR5*'FS - Unitary Capital'!AY5</f>
        <v>21388.848148500001</v>
      </c>
      <c r="AZ5" s="100">
        <f>'Building Typology'!$AX5*'FS - Unitary Capital'!AZ5</f>
        <v>0</v>
      </c>
      <c r="BA5" s="100">
        <f>'Building Typology'!$AY5*'FS - Unitary Capital'!BA5</f>
        <v>0</v>
      </c>
      <c r="BB5" s="100">
        <f>'Building Typology'!$AW5*'FS - Unitary Capital'!BB5</f>
        <v>2315799.2655000002</v>
      </c>
      <c r="BC5" s="100">
        <f>'FS - Unitary Capital'!BC5</f>
        <v>0</v>
      </c>
      <c r="BD5" s="100">
        <f>'FS - Unitary Capital'!BD5</f>
        <v>0</v>
      </c>
      <c r="BE5" s="100">
        <f>SUM(AX5,AY5,AZ5,BA5,BB5,BC5,BD5)</f>
        <v>2810640.4079285003</v>
      </c>
      <c r="BF5" s="269">
        <f>BE5*'Global Inputs'!$E$27</f>
        <v>4605234.3083908483</v>
      </c>
      <c r="BG5" s="44"/>
    </row>
    <row r="6" spans="1:59" x14ac:dyDescent="0.3">
      <c r="A6" s="46" t="str">
        <f>IF('Building Typology'!A6=0," ",'Building Typology'!A6)</f>
        <v>Class 'A' - district heating/ cooling</v>
      </c>
      <c r="B6" s="44"/>
      <c r="C6" s="103">
        <f>'Building Typology'!Y6*'FS - Unitary Capital'!C6</f>
        <v>202679.05888000003</v>
      </c>
      <c r="D6" s="103">
        <f>'Building Typology'!AC6*'FS - Unitary Capital'!D6</f>
        <v>104879.198712</v>
      </c>
      <c r="E6" s="103">
        <f>'Building Typology'!$AX6*'FS - Unitary Capital'!E6</f>
        <v>0</v>
      </c>
      <c r="F6" s="103">
        <f>'Building Typology'!$AY6*'FS - Unitary Capital'!F6</f>
        <v>0</v>
      </c>
      <c r="G6" s="103">
        <f>'Building Typology'!AH6*'FS - Unitary Capital'!G6</f>
        <v>185263.94124000001</v>
      </c>
      <c r="H6" s="103">
        <f>'FS - Unitary Capital'!H6</f>
        <v>0</v>
      </c>
      <c r="I6" s="103">
        <f>'FS - Unitary Capital'!I6</f>
        <v>0</v>
      </c>
      <c r="J6" s="100">
        <f t="shared" ref="J6:J9" si="0">SUM(C6,D6,E6,F6,G6,H6,I6)</f>
        <v>492822.19883200002</v>
      </c>
      <c r="K6" s="269">
        <f>J6*'Global Inputs'!$E$27</f>
        <v>807489.17278623208</v>
      </c>
      <c r="L6" s="44"/>
      <c r="M6" s="103">
        <f>'FS - Unitary Capital'!K6*'FS - Unitary Capital'!M6</f>
        <v>5403531.6195</v>
      </c>
      <c r="N6" s="103">
        <f>'FS - Unitary Capital'!L6*'FS - Unitary Capital'!N6</f>
        <v>347141.78349590447</v>
      </c>
      <c r="O6" s="103">
        <f>'Building Typology'!AX6*'FS - Unitary Capital'!O6</f>
        <v>0</v>
      </c>
      <c r="P6" s="103">
        <f>'Building Typology'!AY6*'FS - Unitary Capital'!P6</f>
        <v>0</v>
      </c>
      <c r="Q6" s="103">
        <f>'FS - Unitary Capital'!Q6</f>
        <v>840000</v>
      </c>
      <c r="R6" s="103">
        <f>'FS - Unitary Capital'!R6</f>
        <v>750000</v>
      </c>
      <c r="S6" s="100">
        <f t="shared" ref="S6:S31" si="1">SUM(M6,N6,O6,P6,Q6,R6)</f>
        <v>7340673.4029959049</v>
      </c>
      <c r="T6" s="269">
        <f>S6*'Global Inputs'!$E$27</f>
        <v>12027693.370808791</v>
      </c>
      <c r="U6" s="44"/>
      <c r="V6" s="100">
        <f>'FS - Unitary Capital'!V6*'FS - Unitary Capital'!X6</f>
        <v>3025977.7069199998</v>
      </c>
      <c r="W6" s="100">
        <f>'FS - Unitary Capital'!W6*'FS - Unitary Capital'!Y6</f>
        <v>42760</v>
      </c>
      <c r="X6" s="100">
        <f>'Building Typology'!AX6*'FS - Unitary Capital'!Z6</f>
        <v>0</v>
      </c>
      <c r="Y6" s="100">
        <f>'Building Typology'!AY6*'FS - Unitary Capital'!AA6</f>
        <v>0</v>
      </c>
      <c r="Z6" s="100">
        <f>'FS - Unitary Capital'!AB6</f>
        <v>539000</v>
      </c>
      <c r="AA6" s="100">
        <f>'FS - Unitary Capital'!AC6</f>
        <v>750000</v>
      </c>
      <c r="AB6" s="100">
        <f t="shared" ref="AB6:AB31" si="2">SUM(V6,W6,X6,Y6,Z6,AA6)</f>
        <v>4357737.7069199998</v>
      </c>
      <c r="AC6" s="269">
        <f>AB6*'Global Inputs'!$E$27</f>
        <v>7140153.2327884203</v>
      </c>
      <c r="AD6" s="44"/>
      <c r="AE6" s="103">
        <f>'FS - Unitary Capital'!AG6*'FS - Unitary Capital'!AI6</f>
        <v>5789498.1637500003</v>
      </c>
      <c r="AF6" s="103">
        <f>'FS - Unitary Capital'!AH6*'FS - Unitary Capital'!AJ6</f>
        <v>195267.25321644626</v>
      </c>
      <c r="AG6" s="103">
        <f>'Building Typology'!AX6*'FS - Unitary Capital'!AK6</f>
        <v>0</v>
      </c>
      <c r="AH6" s="103">
        <f>'Building Typology'!AY6*'FS - Unitary Capital'!AL6</f>
        <v>0</v>
      </c>
      <c r="AI6" s="100">
        <f>'FS - Unitary Capital'!AM6*'FS - Unitary Capital'!AG6</f>
        <v>2547379.1920500002</v>
      </c>
      <c r="AJ6" s="103">
        <f>'FS - Unitary Capital'!AN6</f>
        <v>300000</v>
      </c>
      <c r="AK6" s="100">
        <f t="shared" ref="AK6:AK9" si="3">SUM(AE6,AF6,AG6,AH6,AI6,AJ6)</f>
        <v>8832144.6090164464</v>
      </c>
      <c r="AL6" s="269">
        <f>AK6*'Global Inputs'!$E$27</f>
        <v>14471468.941873448</v>
      </c>
      <c r="AM6" s="44"/>
      <c r="AN6" s="100">
        <f>'Building Typology'!$AN6*'FS - Unitary Capital'!AP6</f>
        <v>241111.36000000002</v>
      </c>
      <c r="AO6" s="100">
        <f>'Building Typology'!$AR6*'FS - Unitary Capital'!AQ6</f>
        <v>21785.064000000002</v>
      </c>
      <c r="AP6" s="100">
        <f>'Building Typology'!AX6*'FS - Unitary Capital'!AR6</f>
        <v>0</v>
      </c>
      <c r="AQ6" s="100">
        <f>'Building Typology'!AY6*'FS - Unitary Capital'!AS6</f>
        <v>0</v>
      </c>
      <c r="AR6" s="100">
        <f>'Building Typology'!$AW6*'FS - Unitary Capital'!AT6</f>
        <v>185263.94124000001</v>
      </c>
      <c r="AS6" s="100">
        <f>'FS - Unitary Capital'!AU6</f>
        <v>0</v>
      </c>
      <c r="AT6" s="100">
        <f>'FS - Unitary Capital'!AV6</f>
        <v>1500000</v>
      </c>
      <c r="AU6" s="100">
        <f t="shared" ref="AU6:AU9" si="4">SUM(AN6,AO6,AP6,AQ6,AR6,AS6,AT6)</f>
        <v>1948160.36524</v>
      </c>
      <c r="AV6" s="269">
        <f>AU6*'Global Inputs'!$E$27</f>
        <v>3192060.7584457402</v>
      </c>
      <c r="AW6" s="44"/>
      <c r="AX6" s="100">
        <f>'Building Typology'!$AN6*'FS - Unitary Capital'!AX6</f>
        <v>164679.05888000003</v>
      </c>
      <c r="AY6" s="100">
        <f>'Building Typology'!$AR6*'FS - Unitary Capital'!AY6</f>
        <v>7439.5993560000006</v>
      </c>
      <c r="AZ6" s="100">
        <f>'Building Typology'!$AX6*'FS - Unitary Capital'!AZ6</f>
        <v>0</v>
      </c>
      <c r="BA6" s="100">
        <f>'Building Typology'!$AY6*'FS - Unitary Capital'!BA6</f>
        <v>0</v>
      </c>
      <c r="BB6" s="100">
        <f>'Building Typology'!$AW6*'FS - Unitary Capital'!BB6</f>
        <v>185263.94124000001</v>
      </c>
      <c r="BC6" s="100">
        <f>'FS - Unitary Capital'!BC6</f>
        <v>0</v>
      </c>
      <c r="BD6" s="100">
        <f>'FS - Unitary Capital'!BD6</f>
        <v>0</v>
      </c>
      <c r="BE6" s="100">
        <f t="shared" ref="BE6:BE9" si="5">SUM(AX6,AY6,AZ6,BA6,BB6,BC6,BD6)</f>
        <v>357382.59947600006</v>
      </c>
      <c r="BF6" s="269">
        <f>BE6*'Global Inputs'!$E$27</f>
        <v>585571.38924142614</v>
      </c>
      <c r="BG6" s="44"/>
    </row>
    <row r="7" spans="1:59" x14ac:dyDescent="0.3">
      <c r="A7" s="46" t="str">
        <f>IF('Building Typology'!A7=0," ",'Building Typology'!A7)</f>
        <v>Class 'A' - electric</v>
      </c>
      <c r="B7" s="44"/>
      <c r="C7" s="103">
        <f>'Building Typology'!Y7*'FS - Unitary Capital'!C7</f>
        <v>0</v>
      </c>
      <c r="D7" s="103">
        <f>'Building Typology'!AC7*'FS - Unitary Capital'!D7</f>
        <v>0</v>
      </c>
      <c r="E7" s="103">
        <f>'Building Typology'!$AX7*'FS - Unitary Capital'!E7</f>
        <v>450000</v>
      </c>
      <c r="F7" s="103">
        <f>'Building Typology'!$AY7*'FS - Unitary Capital'!F7</f>
        <v>0</v>
      </c>
      <c r="G7" s="103">
        <f>'Building Typology'!AH7*'FS - Unitary Capital'!G7</f>
        <v>0</v>
      </c>
      <c r="H7" s="103">
        <f>'FS - Unitary Capital'!H7</f>
        <v>0</v>
      </c>
      <c r="I7" s="103">
        <f>'FS - Unitary Capital'!I7</f>
        <v>0</v>
      </c>
      <c r="J7" s="100">
        <f t="shared" si="0"/>
        <v>450000</v>
      </c>
      <c r="K7" s="269">
        <f>J7*'Global Inputs'!$E$27</f>
        <v>737325</v>
      </c>
      <c r="L7" s="44"/>
      <c r="M7" s="103">
        <f>'FS - Unitary Capital'!K7*'FS - Unitary Capital'!M7</f>
        <v>0</v>
      </c>
      <c r="N7" s="103">
        <f>'FS - Unitary Capital'!L7*'FS - Unitary Capital'!N7</f>
        <v>347141.78349590447</v>
      </c>
      <c r="O7" s="103">
        <f>'Building Typology'!AX7*'FS - Unitary Capital'!O7</f>
        <v>600000</v>
      </c>
      <c r="P7" s="103">
        <f>'Building Typology'!AY7*'FS - Unitary Capital'!P7</f>
        <v>0</v>
      </c>
      <c r="Q7" s="103">
        <f>'FS - Unitary Capital'!Q7</f>
        <v>0</v>
      </c>
      <c r="R7" s="103">
        <f>'FS - Unitary Capital'!R7</f>
        <v>250000</v>
      </c>
      <c r="S7" s="100">
        <f t="shared" si="1"/>
        <v>1197141.7834959044</v>
      </c>
      <c r="T7" s="269">
        <f>S7*'Global Inputs'!$E$27</f>
        <v>1961516.8122580394</v>
      </c>
      <c r="U7" s="44"/>
      <c r="V7" s="100">
        <f>'FS - Unitary Capital'!V7*'FS - Unitary Capital'!X7</f>
        <v>0</v>
      </c>
      <c r="W7" s="100">
        <f>'FS - Unitary Capital'!W7*'FS - Unitary Capital'!Y7</f>
        <v>0</v>
      </c>
      <c r="X7" s="100">
        <f>'Building Typology'!AX7*'FS - Unitary Capital'!Z7</f>
        <v>600000</v>
      </c>
      <c r="Y7" s="100">
        <f>'Building Typology'!AY7*'FS - Unitary Capital'!AA7</f>
        <v>0</v>
      </c>
      <c r="Z7" s="100">
        <f>'FS - Unitary Capital'!AB7</f>
        <v>0</v>
      </c>
      <c r="AA7" s="100">
        <f>'FS - Unitary Capital'!AC7</f>
        <v>250000</v>
      </c>
      <c r="AB7" s="100">
        <f t="shared" si="2"/>
        <v>850000</v>
      </c>
      <c r="AC7" s="269">
        <f>AB7*'Global Inputs'!$E$27</f>
        <v>1392725</v>
      </c>
      <c r="AD7" s="44"/>
      <c r="AE7" s="103">
        <f>'FS - Unitary Capital'!AG7*'FS - Unitary Capital'!AI7</f>
        <v>0</v>
      </c>
      <c r="AF7" s="103">
        <f>'FS - Unitary Capital'!AH7*'FS - Unitary Capital'!AJ7</f>
        <v>195267.25321644626</v>
      </c>
      <c r="AG7" s="103">
        <f>'Building Typology'!AX7*'FS - Unitary Capital'!AK7</f>
        <v>450000</v>
      </c>
      <c r="AH7" s="103">
        <f>'Building Typology'!AY7*'FS - Unitary Capital'!AL7</f>
        <v>0</v>
      </c>
      <c r="AI7" s="100">
        <f>'FS - Unitary Capital'!AM7*'FS - Unitary Capital'!AG7</f>
        <v>2547379.1920500002</v>
      </c>
      <c r="AJ7" s="103">
        <f>'FS - Unitary Capital'!AN7</f>
        <v>125000</v>
      </c>
      <c r="AK7" s="100">
        <f t="shared" si="3"/>
        <v>3317646.4452664466</v>
      </c>
      <c r="AL7" s="269">
        <f>AK7*'Global Inputs'!$E$27</f>
        <v>5435963.7005690727</v>
      </c>
      <c r="AM7" s="44"/>
      <c r="AN7" s="100">
        <f>'Building Typology'!$AN7*'FS - Unitary Capital'!AP7</f>
        <v>0</v>
      </c>
      <c r="AO7" s="100">
        <f>'Building Typology'!$AR7*'FS - Unitary Capital'!AQ7</f>
        <v>0</v>
      </c>
      <c r="AP7" s="100">
        <f>'Building Typology'!AX7*'FS - Unitary Capital'!AR7</f>
        <v>450000</v>
      </c>
      <c r="AQ7" s="100">
        <f>'Building Typology'!AY7*'FS - Unitary Capital'!AS7</f>
        <v>0</v>
      </c>
      <c r="AR7" s="100">
        <f>'Building Typology'!$AW7*'FS - Unitary Capital'!AT7</f>
        <v>0</v>
      </c>
      <c r="AS7" s="100">
        <f>'FS - Unitary Capital'!AU7</f>
        <v>0</v>
      </c>
      <c r="AT7" s="100">
        <f>'FS - Unitary Capital'!AV7</f>
        <v>400000</v>
      </c>
      <c r="AU7" s="100">
        <f t="shared" si="4"/>
        <v>850000</v>
      </c>
      <c r="AV7" s="269">
        <f>AU7*'Global Inputs'!$E$27</f>
        <v>1392725</v>
      </c>
      <c r="AW7" s="44"/>
      <c r="AX7" s="100">
        <f>'Building Typology'!$AN7*'FS - Unitary Capital'!AX7</f>
        <v>0</v>
      </c>
      <c r="AY7" s="100">
        <f>'Building Typology'!$AR7*'FS - Unitary Capital'!AY7</f>
        <v>0</v>
      </c>
      <c r="AZ7" s="100">
        <f>'Building Typology'!$AX7*'FS - Unitary Capital'!AZ7</f>
        <v>450000</v>
      </c>
      <c r="BA7" s="100">
        <f>'Building Typology'!$AY7*'FS - Unitary Capital'!BA7</f>
        <v>0</v>
      </c>
      <c r="BB7" s="100">
        <f>'Building Typology'!$AW7*'FS - Unitary Capital'!BB7</f>
        <v>0</v>
      </c>
      <c r="BC7" s="100">
        <f>'FS - Unitary Capital'!BC7</f>
        <v>0</v>
      </c>
      <c r="BD7" s="100">
        <f>'FS - Unitary Capital'!BD7</f>
        <v>0</v>
      </c>
      <c r="BE7" s="100">
        <f t="shared" si="5"/>
        <v>450000</v>
      </c>
      <c r="BF7" s="269">
        <f>BE7*'Global Inputs'!$E$27</f>
        <v>737325</v>
      </c>
      <c r="BG7" s="44"/>
    </row>
    <row r="8" spans="1:59" x14ac:dyDescent="0.3">
      <c r="A8" s="46" t="str">
        <f>IF('Building Typology'!A8=0," ",'Building Typology'!A8)</f>
        <v>Class 'B' &amp; 'C' - rooftop units</v>
      </c>
      <c r="B8" s="44"/>
      <c r="C8" s="103">
        <f>'Building Typology'!Y8*'FS - Unitary Capital'!C8</f>
        <v>28750</v>
      </c>
      <c r="D8" s="103">
        <f>'Building Typology'!AC8*'FS - Unitary Capital'!D8</f>
        <v>0</v>
      </c>
      <c r="E8" s="103">
        <f>'Building Typology'!$AX8*'FS - Unitary Capital'!E8</f>
        <v>0</v>
      </c>
      <c r="F8" s="103">
        <f>'Building Typology'!$AY8*'FS - Unitary Capital'!F8</f>
        <v>198000</v>
      </c>
      <c r="G8" s="103">
        <f>'Building Typology'!AH8*'FS - Unitary Capital'!G8</f>
        <v>0</v>
      </c>
      <c r="H8" s="103">
        <f>'FS - Unitary Capital'!H8</f>
        <v>0</v>
      </c>
      <c r="I8" s="103">
        <f>'FS - Unitary Capital'!I8</f>
        <v>0</v>
      </c>
      <c r="J8" s="100">
        <f t="shared" si="0"/>
        <v>226750</v>
      </c>
      <c r="K8" s="269">
        <f>J8*'Global Inputs'!$E$27</f>
        <v>371529.875</v>
      </c>
      <c r="L8" s="44"/>
      <c r="M8" s="103">
        <f>'FS - Unitary Capital'!K8*'FS - Unitary Capital'!M8</f>
        <v>905734.82383999997</v>
      </c>
      <c r="N8" s="103">
        <f>'FS - Unitary Capital'!L8*'FS - Unitary Capital'!N8</f>
        <v>8000</v>
      </c>
      <c r="O8" s="103">
        <f>'Building Typology'!AX8*'FS - Unitary Capital'!O8</f>
        <v>72000</v>
      </c>
      <c r="P8" s="103">
        <f>'Building Typology'!AY8*'FS - Unitary Capital'!P8</f>
        <v>0</v>
      </c>
      <c r="Q8" s="103">
        <f>'FS - Unitary Capital'!Q8</f>
        <v>0</v>
      </c>
      <c r="R8" s="103">
        <f>'FS - Unitary Capital'!R8</f>
        <v>400000</v>
      </c>
      <c r="S8" s="100">
        <f t="shared" si="1"/>
        <v>1385734.82384</v>
      </c>
      <c r="T8" s="269">
        <f>S8*'Global Inputs'!$E$27</f>
        <v>2270526.5088618402</v>
      </c>
      <c r="U8" s="44"/>
      <c r="V8" s="100">
        <f>'FS - Unitary Capital'!V8*'FS - Unitary Capital'!X8</f>
        <v>0</v>
      </c>
      <c r="W8" s="100">
        <f>'FS - Unitary Capital'!W8*'FS - Unitary Capital'!Y8</f>
        <v>6000</v>
      </c>
      <c r="X8" s="100">
        <f>'Building Typology'!AX8*'FS - Unitary Capital'!Z8</f>
        <v>72000</v>
      </c>
      <c r="Y8" s="100">
        <f>'Building Typology'!AY8*'FS - Unitary Capital'!AA8</f>
        <v>495000</v>
      </c>
      <c r="Z8" s="100">
        <f>'FS - Unitary Capital'!AB8</f>
        <v>0</v>
      </c>
      <c r="AA8" s="100">
        <f>'FS - Unitary Capital'!AC8</f>
        <v>400000</v>
      </c>
      <c r="AB8" s="100">
        <f t="shared" si="2"/>
        <v>973000</v>
      </c>
      <c r="AC8" s="269">
        <f>AB8*'Global Inputs'!$E$27</f>
        <v>1594260.5</v>
      </c>
      <c r="AD8" s="44"/>
      <c r="AE8" s="103">
        <f>'FS - Unitary Capital'!AG8*'FS - Unitary Capital'!AI8</f>
        <v>815161.34145599999</v>
      </c>
      <c r="AF8" s="103">
        <f>'FS - Unitary Capital'!AH8*'FS - Unitary Capital'!AJ8</f>
        <v>22692.249440169562</v>
      </c>
      <c r="AG8" s="103">
        <f>'Building Typology'!AX8*'FS - Unitary Capital'!AK8</f>
        <v>54000</v>
      </c>
      <c r="AH8" s="103">
        <f>'Building Typology'!AY8*'FS - Unitary Capital'!AL8</f>
        <v>0</v>
      </c>
      <c r="AI8" s="100">
        <f>'FS - Unitary Capital'!AM8*'FS - Unitary Capital'!AG8</f>
        <v>373615.61483400001</v>
      </c>
      <c r="AJ8" s="103">
        <f>'FS - Unitary Capital'!AN8</f>
        <v>50000</v>
      </c>
      <c r="AK8" s="100">
        <f t="shared" si="3"/>
        <v>1315469.2057301695</v>
      </c>
      <c r="AL8" s="269">
        <f>AK8*'Global Inputs'!$E$27</f>
        <v>2155396.2935888828</v>
      </c>
      <c r="AM8" s="44"/>
      <c r="AN8" s="100">
        <f>'Building Typology'!$AN8*'FS - Unitary Capital'!AP8</f>
        <v>45000.000000000007</v>
      </c>
      <c r="AO8" s="100">
        <f>'Building Typology'!$AR8*'FS - Unitary Capital'!AQ8</f>
        <v>2531.6692800000001</v>
      </c>
      <c r="AP8" s="100">
        <f>'Building Typology'!AX8*'FS - Unitary Capital'!AR8</f>
        <v>0</v>
      </c>
      <c r="AQ8" s="100">
        <f>'Building Typology'!AY8*'FS - Unitary Capital'!AS8</f>
        <v>198000</v>
      </c>
      <c r="AR8" s="100">
        <f>'Building Typology'!$AW8*'FS - Unitary Capital'!AT8</f>
        <v>0</v>
      </c>
      <c r="AS8" s="100">
        <f>'FS - Unitary Capital'!AU8</f>
        <v>0</v>
      </c>
      <c r="AT8" s="100">
        <f>'FS - Unitary Capital'!AV8</f>
        <v>500000</v>
      </c>
      <c r="AU8" s="100">
        <f t="shared" si="4"/>
        <v>745531.66928000003</v>
      </c>
      <c r="AV8" s="269">
        <f>AU8*'Global Inputs'!$E$27</f>
        <v>1221553.6401152802</v>
      </c>
      <c r="AW8" s="44"/>
      <c r="AX8" s="100">
        <f>'Building Typology'!$AN8*'FS - Unitary Capital'!AX8</f>
        <v>57500</v>
      </c>
      <c r="AY8" s="100">
        <f>'Building Typology'!$AR8*'FS - Unitary Capital'!AY8</f>
        <v>0</v>
      </c>
      <c r="AZ8" s="100">
        <f>'Building Typology'!$AX8*'FS - Unitary Capital'!AZ8</f>
        <v>0</v>
      </c>
      <c r="BA8" s="100">
        <f>'Building Typology'!$AY8*'FS - Unitary Capital'!BA8</f>
        <v>198000</v>
      </c>
      <c r="BB8" s="100">
        <f>'Building Typology'!$AW8*'FS - Unitary Capital'!BB8</f>
        <v>0</v>
      </c>
      <c r="BC8" s="100">
        <f>'FS - Unitary Capital'!BC8</f>
        <v>0</v>
      </c>
      <c r="BD8" s="100">
        <f>'FS - Unitary Capital'!BD8</f>
        <v>0</v>
      </c>
      <c r="BE8" s="100">
        <f t="shared" si="5"/>
        <v>255500</v>
      </c>
      <c r="BF8" s="269">
        <f>BE8*'Global Inputs'!$E$27</f>
        <v>418636.75</v>
      </c>
      <c r="BG8" s="44"/>
    </row>
    <row r="9" spans="1:59" x14ac:dyDescent="0.3">
      <c r="A9" s="46" t="str">
        <f>IF('Building Typology'!A9=0," ",'Building Typology'!A9)</f>
        <v>Class 'B' &amp; 'C' - electric</v>
      </c>
      <c r="B9" s="44"/>
      <c r="C9" s="103">
        <f>'Building Typology'!Y9*'FS - Unitary Capital'!C9</f>
        <v>0</v>
      </c>
      <c r="D9" s="103">
        <f>'Building Typology'!AC9*'FS - Unitary Capital'!D9</f>
        <v>0</v>
      </c>
      <c r="E9" s="103">
        <f>'Building Typology'!$AX9*'FS - Unitary Capital'!E9</f>
        <v>54000</v>
      </c>
      <c r="F9" s="103">
        <f>'Building Typology'!$AY9*'FS - Unitary Capital'!F9</f>
        <v>0</v>
      </c>
      <c r="G9" s="103">
        <f>'Building Typology'!AH9*'FS - Unitary Capital'!G9</f>
        <v>0</v>
      </c>
      <c r="H9" s="103">
        <f>'FS - Unitary Capital'!H9</f>
        <v>0</v>
      </c>
      <c r="I9" s="103">
        <f>'FS - Unitary Capital'!I9</f>
        <v>0</v>
      </c>
      <c r="J9" s="100">
        <f t="shared" si="0"/>
        <v>54000</v>
      </c>
      <c r="K9" s="269">
        <f>J9*'Global Inputs'!$E$27</f>
        <v>88479</v>
      </c>
      <c r="L9" s="44"/>
      <c r="M9" s="103">
        <f>'FS - Unitary Capital'!K9*'FS - Unitary Capital'!M9</f>
        <v>0</v>
      </c>
      <c r="N9" s="103">
        <f>'FS - Unitary Capital'!L9*'FS - Unitary Capital'!N9</f>
        <v>8000</v>
      </c>
      <c r="O9" s="103">
        <f>'Building Typology'!AX9*'FS - Unitary Capital'!O9</f>
        <v>72000</v>
      </c>
      <c r="P9" s="103">
        <f>'Building Typology'!AY9*'FS - Unitary Capital'!P9</f>
        <v>0</v>
      </c>
      <c r="Q9" s="103">
        <f>'FS - Unitary Capital'!Q9</f>
        <v>0</v>
      </c>
      <c r="R9" s="103">
        <f>'FS - Unitary Capital'!R9</f>
        <v>150000</v>
      </c>
      <c r="S9" s="100">
        <f t="shared" si="1"/>
        <v>230000</v>
      </c>
      <c r="T9" s="269">
        <f>S9*'Global Inputs'!$E$27</f>
        <v>376855</v>
      </c>
      <c r="U9" s="44"/>
      <c r="V9" s="100">
        <f>'FS - Unitary Capital'!V9*'FS - Unitary Capital'!X9</f>
        <v>0</v>
      </c>
      <c r="W9" s="100">
        <f>'FS - Unitary Capital'!W9*'FS - Unitary Capital'!Y9</f>
        <v>6000</v>
      </c>
      <c r="X9" s="100">
        <f>'Building Typology'!AX9*'FS - Unitary Capital'!Z9</f>
        <v>72000</v>
      </c>
      <c r="Y9" s="100">
        <f>'Building Typology'!AY9*'FS - Unitary Capital'!AA9</f>
        <v>0</v>
      </c>
      <c r="Z9" s="100">
        <f>'FS - Unitary Capital'!AB9</f>
        <v>0</v>
      </c>
      <c r="AA9" s="100">
        <f>'FS - Unitary Capital'!AC9</f>
        <v>150000</v>
      </c>
      <c r="AB9" s="100">
        <f t="shared" si="2"/>
        <v>228000</v>
      </c>
      <c r="AC9" s="269">
        <f>AB9*'Global Inputs'!$E$27</f>
        <v>373578</v>
      </c>
      <c r="AD9" s="44"/>
      <c r="AE9" s="103">
        <f>'FS - Unitary Capital'!AG9*'FS - Unitary Capital'!AI9</f>
        <v>0</v>
      </c>
      <c r="AF9" s="103">
        <f>'FS - Unitary Capital'!AH9*'FS - Unitary Capital'!AJ9</f>
        <v>22692.249440169562</v>
      </c>
      <c r="AG9" s="103">
        <f>'Building Typology'!AX9*'FS - Unitary Capital'!AK9</f>
        <v>54000</v>
      </c>
      <c r="AH9" s="103">
        <f>'Building Typology'!AY9*'FS - Unitary Capital'!AL9</f>
        <v>0</v>
      </c>
      <c r="AI9" s="100">
        <f>'FS - Unitary Capital'!AM9*'FS - Unitary Capital'!AG9</f>
        <v>373615.61483400001</v>
      </c>
      <c r="AJ9" s="103">
        <f>'FS - Unitary Capital'!AN9</f>
        <v>50000</v>
      </c>
      <c r="AK9" s="100">
        <f t="shared" si="3"/>
        <v>500307.86427416955</v>
      </c>
      <c r="AL9" s="269">
        <f>AK9*'Global Inputs'!$E$27</f>
        <v>819754.43561322684</v>
      </c>
      <c r="AM9" s="44"/>
      <c r="AN9" s="100">
        <f>'Building Typology'!$AN9*'FS - Unitary Capital'!AP9</f>
        <v>0</v>
      </c>
      <c r="AO9" s="100">
        <f>'Building Typology'!$AR9*'FS - Unitary Capital'!AQ9</f>
        <v>2531.6692800000001</v>
      </c>
      <c r="AP9" s="100">
        <f>'Building Typology'!AX9*'FS - Unitary Capital'!AR9</f>
        <v>54000</v>
      </c>
      <c r="AQ9" s="100">
        <f>'Building Typology'!AY9*'FS - Unitary Capital'!AS9</f>
        <v>0</v>
      </c>
      <c r="AR9" s="100">
        <f>'Building Typology'!$AW9*'FS - Unitary Capital'!AT9</f>
        <v>0</v>
      </c>
      <c r="AS9" s="100">
        <f>'FS - Unitary Capital'!AU9</f>
        <v>0</v>
      </c>
      <c r="AT9" s="100">
        <f>'FS - Unitary Capital'!AV9</f>
        <v>75000</v>
      </c>
      <c r="AU9" s="100">
        <f t="shared" si="4"/>
        <v>131531.66928</v>
      </c>
      <c r="AV9" s="269">
        <f>AU9*'Global Inputs'!$E$27</f>
        <v>215514.64011528002</v>
      </c>
      <c r="AW9" s="44"/>
      <c r="AX9" s="100">
        <f>'Building Typology'!$AN9*'FS - Unitary Capital'!AX9</f>
        <v>0</v>
      </c>
      <c r="AY9" s="100">
        <f>'Building Typology'!$AR9*'FS - Unitary Capital'!AY9</f>
        <v>0</v>
      </c>
      <c r="AZ9" s="100">
        <f>'Building Typology'!$AX9*'FS - Unitary Capital'!AZ9</f>
        <v>54000</v>
      </c>
      <c r="BA9" s="100">
        <f>'Building Typology'!$AY9*'FS - Unitary Capital'!BA9</f>
        <v>0</v>
      </c>
      <c r="BB9" s="100">
        <f>'Building Typology'!$AW9*'FS - Unitary Capital'!BB9</f>
        <v>0</v>
      </c>
      <c r="BC9" s="100">
        <f>'FS - Unitary Capital'!BC9</f>
        <v>0</v>
      </c>
      <c r="BD9" s="100">
        <f>'FS - Unitary Capital'!BD9</f>
        <v>0</v>
      </c>
      <c r="BE9" s="100">
        <f t="shared" si="5"/>
        <v>54000</v>
      </c>
      <c r="BF9" s="269">
        <f>BE9*'Global Inputs'!$E$27</f>
        <v>88479</v>
      </c>
      <c r="BG9" s="44"/>
    </row>
    <row r="10" spans="1:59" x14ac:dyDescent="0.3">
      <c r="A10" s="44" t="str">
        <f>IF('Building Typology'!A10=0," ",'Building Typology'!A10)</f>
        <v xml:space="preserve"> </v>
      </c>
      <c r="B10" s="44"/>
      <c r="C10" s="108"/>
      <c r="D10" s="108"/>
      <c r="E10" s="108"/>
      <c r="F10" s="108"/>
      <c r="G10" s="108"/>
      <c r="H10" s="108"/>
      <c r="I10" s="108"/>
      <c r="J10" s="108"/>
      <c r="K10" s="270"/>
      <c r="L10" s="44"/>
      <c r="M10" s="110"/>
      <c r="N10" s="110"/>
      <c r="O10" s="108"/>
      <c r="P10" s="108"/>
      <c r="Q10" s="108"/>
      <c r="R10" s="108"/>
      <c r="S10" s="108"/>
      <c r="T10" s="270"/>
      <c r="U10" s="44"/>
      <c r="V10" s="110"/>
      <c r="W10" s="110"/>
      <c r="X10" s="108"/>
      <c r="Y10" s="108"/>
      <c r="Z10" s="108"/>
      <c r="AA10" s="108"/>
      <c r="AB10" s="108"/>
      <c r="AC10" s="270"/>
      <c r="AD10" s="44"/>
      <c r="AE10" s="110"/>
      <c r="AF10" s="110"/>
      <c r="AG10" s="110"/>
      <c r="AH10" s="110"/>
      <c r="AI10" s="108"/>
      <c r="AJ10" s="108"/>
      <c r="AK10" s="108"/>
      <c r="AL10" s="270"/>
      <c r="AM10" s="44"/>
      <c r="AN10" s="108"/>
      <c r="AO10" s="108"/>
      <c r="AP10" s="108"/>
      <c r="AQ10" s="108"/>
      <c r="AR10" s="108"/>
      <c r="AS10" s="108"/>
      <c r="AT10" s="108"/>
      <c r="AU10" s="108"/>
      <c r="AV10" s="270"/>
      <c r="AW10" s="44"/>
      <c r="AX10" s="108"/>
      <c r="AY10" s="108"/>
      <c r="AZ10" s="108"/>
      <c r="BA10" s="108"/>
      <c r="BB10" s="108"/>
      <c r="BC10" s="108"/>
      <c r="BD10" s="108"/>
      <c r="BE10" s="108"/>
      <c r="BF10" s="270"/>
      <c r="BG10" s="44"/>
    </row>
    <row r="11" spans="1:59" ht="16.5" x14ac:dyDescent="0.3">
      <c r="A11" s="98" t="str">
        <f>IF('Building Typology'!A11=0," ",'Building Typology'!A11)</f>
        <v>RETAIL &amp; HOSPITALITY</v>
      </c>
      <c r="B11" s="44"/>
      <c r="C11" s="103"/>
      <c r="D11" s="103"/>
      <c r="E11" s="103"/>
      <c r="F11" s="103"/>
      <c r="G11" s="103"/>
      <c r="H11" s="103"/>
      <c r="I11" s="103"/>
      <c r="J11" s="100"/>
      <c r="K11" s="269"/>
      <c r="L11" s="44"/>
      <c r="M11" s="104"/>
      <c r="N11" s="104"/>
      <c r="O11" s="103"/>
      <c r="P11" s="103"/>
      <c r="Q11" s="103"/>
      <c r="R11" s="103"/>
      <c r="S11" s="103"/>
      <c r="T11" s="269"/>
      <c r="U11" s="44"/>
      <c r="V11" s="107"/>
      <c r="W11" s="107"/>
      <c r="X11" s="100"/>
      <c r="Y11" s="100"/>
      <c r="Z11" s="100"/>
      <c r="AA11" s="100"/>
      <c r="AB11" s="100"/>
      <c r="AC11" s="269"/>
      <c r="AD11" s="44"/>
      <c r="AE11" s="107"/>
      <c r="AF11" s="107"/>
      <c r="AG11" s="107"/>
      <c r="AH11" s="107"/>
      <c r="AI11" s="100"/>
      <c r="AJ11" s="103"/>
      <c r="AK11" s="100"/>
      <c r="AL11" s="269"/>
      <c r="AM11" s="44"/>
      <c r="AN11" s="100"/>
      <c r="AO11" s="100"/>
      <c r="AP11" s="100"/>
      <c r="AQ11" s="100"/>
      <c r="AR11" s="100"/>
      <c r="AS11" s="100"/>
      <c r="AT11" s="100"/>
      <c r="AU11" s="100"/>
      <c r="AV11" s="269"/>
      <c r="AW11" s="44"/>
      <c r="AX11" s="100"/>
      <c r="AY11" s="100"/>
      <c r="AZ11" s="100"/>
      <c r="BA11" s="100"/>
      <c r="BB11" s="100"/>
      <c r="BC11" s="100"/>
      <c r="BD11" s="100"/>
      <c r="BE11" s="100"/>
      <c r="BF11" s="269"/>
      <c r="BG11" s="44"/>
    </row>
    <row r="12" spans="1:59" x14ac:dyDescent="0.3">
      <c r="A12" s="46" t="str">
        <f>IF('Building Typology'!A12=0," ",'Building Typology'!A12)</f>
        <v>Restaurant - gas MAU + RTU</v>
      </c>
      <c r="B12" s="44"/>
      <c r="C12" s="103">
        <f>'Building Typology'!Y12*'FS - Unitary Capital'!C12</f>
        <v>0</v>
      </c>
      <c r="D12" s="103">
        <f>'Building Typology'!AC12*'FS - Unitary Capital'!D12</f>
        <v>23599.806140000004</v>
      </c>
      <c r="E12" s="103">
        <f>'Building Typology'!$AX12*'FS - Unitary Capital'!E12</f>
        <v>54000</v>
      </c>
      <c r="F12" s="103">
        <f>'Building Typology'!$AY12*'FS - Unitary Capital'!F12</f>
        <v>33000</v>
      </c>
      <c r="G12" s="103">
        <f>'Building Typology'!AH12*'FS - Unitary Capital'!G12</f>
        <v>0</v>
      </c>
      <c r="H12" s="103">
        <f>'FS - Unitary Capital'!H12</f>
        <v>0</v>
      </c>
      <c r="I12" s="103">
        <f>'FS - Unitary Capital'!I12</f>
        <v>0</v>
      </c>
      <c r="J12" s="100">
        <f t="shared" ref="J12:J15" si="6">SUM(C12,D12,E12,F12,G12,H12,I12)</f>
        <v>110599.80614</v>
      </c>
      <c r="K12" s="269">
        <f>J12*'Global Inputs'!$E$27</f>
        <v>181217.78236039</v>
      </c>
      <c r="L12" s="44"/>
      <c r="M12" s="103">
        <f>'FS - Unitary Capital'!K12*'FS - Unitary Capital'!M12</f>
        <v>0</v>
      </c>
      <c r="N12" s="103">
        <f>'FS - Unitary Capital'!L12*'FS - Unitary Capital'!N12</f>
        <v>83985.915361912354</v>
      </c>
      <c r="O12" s="103">
        <f>'Building Typology'!AX12*'FS - Unitary Capital'!O12</f>
        <v>90000</v>
      </c>
      <c r="P12" s="103">
        <f>'Building Typology'!AY12*'FS - Unitary Capital'!P12</f>
        <v>184800</v>
      </c>
      <c r="Q12" s="103">
        <f>'FS - Unitary Capital'!Q12</f>
        <v>0</v>
      </c>
      <c r="R12" s="103">
        <f>'FS - Unitary Capital'!R12</f>
        <v>100000</v>
      </c>
      <c r="S12" s="100">
        <f t="shared" si="1"/>
        <v>458785.91536191234</v>
      </c>
      <c r="T12" s="269">
        <f>S12*'Global Inputs'!$E$27</f>
        <v>751720.72232049343</v>
      </c>
      <c r="U12" s="44"/>
      <c r="V12" s="100">
        <f>'FS - Unitary Capital'!V12*'FS - Unitary Capital'!X12</f>
        <v>0</v>
      </c>
      <c r="W12" s="100">
        <f>'FS - Unitary Capital'!W12*'FS - Unitary Capital'!Y12</f>
        <v>41992.957680956177</v>
      </c>
      <c r="X12" s="100">
        <f>'Building Typology'!AX12*'FS - Unitary Capital'!Z12</f>
        <v>90000</v>
      </c>
      <c r="Y12" s="100">
        <f>'Building Typology'!AY12*'FS - Unitary Capital'!AA12</f>
        <v>184800</v>
      </c>
      <c r="Z12" s="100">
        <f>'FS - Unitary Capital'!AB12</f>
        <v>0</v>
      </c>
      <c r="AA12" s="100">
        <f>'FS - Unitary Capital'!AC12</f>
        <v>100000</v>
      </c>
      <c r="AB12" s="100">
        <f t="shared" si="2"/>
        <v>416792.95768095617</v>
      </c>
      <c r="AC12" s="269">
        <f>AB12*'Global Inputs'!$E$27</f>
        <v>682915.26116024668</v>
      </c>
      <c r="AD12" s="44"/>
      <c r="AE12" s="103">
        <f>'FS - Unitary Capital'!AG12*'FS - Unitary Capital'!AI12</f>
        <v>0</v>
      </c>
      <c r="AF12" s="103">
        <f>'FS - Unitary Capital'!AH12*'FS - Unitary Capital'!AJ12</f>
        <v>47242.077391075698</v>
      </c>
      <c r="AG12" s="103">
        <f>'Building Typology'!AX12*'FS - Unitary Capital'!AK12</f>
        <v>54000</v>
      </c>
      <c r="AH12" s="103">
        <f>'Building Typology'!AY12*'FS - Unitary Capital'!AL12</f>
        <v>330750</v>
      </c>
      <c r="AI12" s="100">
        <f>'FS - Unitary Capital'!AM12*'FS - Unitary Capital'!AG12</f>
        <v>116868.8659325</v>
      </c>
      <c r="AJ12" s="103">
        <f>'FS - Unitary Capital'!AN12</f>
        <v>50000</v>
      </c>
      <c r="AK12" s="100">
        <f t="shared" ref="AK12:AK16" si="7">SUM(AE12,AF12,AG12,AH12,AI12,AJ12)</f>
        <v>598860.94332357566</v>
      </c>
      <c r="AL12" s="269">
        <f>AK12*'Global Inputs'!$E$27</f>
        <v>981233.65563567879</v>
      </c>
      <c r="AM12" s="44"/>
      <c r="AN12" s="100">
        <f>'Building Typology'!$AN12*'FS - Unitary Capital'!AP12</f>
        <v>0</v>
      </c>
      <c r="AO12" s="100">
        <f>'Building Typology'!$AR12*'FS - Unitary Capital'!AQ12</f>
        <v>5270.58</v>
      </c>
      <c r="AP12" s="100">
        <f>'Building Typology'!AX12*'FS - Unitary Capital'!AR12</f>
        <v>54000</v>
      </c>
      <c r="AQ12" s="100">
        <f>'Building Typology'!AY12*'FS - Unitary Capital'!AS12</f>
        <v>33000</v>
      </c>
      <c r="AR12" s="100">
        <f>'Building Typology'!$AW12*'FS - Unitary Capital'!AT12</f>
        <v>0</v>
      </c>
      <c r="AS12" s="100">
        <f>'FS - Unitary Capital'!AU12</f>
        <v>0</v>
      </c>
      <c r="AT12" s="100">
        <f>'FS - Unitary Capital'!AV12</f>
        <v>350000</v>
      </c>
      <c r="AU12" s="100">
        <f t="shared" ref="AU12:AU15" si="8">SUM(AN12,AO12,AP12,AQ12,AR12,AS12,AT12)</f>
        <v>442270.58</v>
      </c>
      <c r="AV12" s="269">
        <f>AU12*'Global Inputs'!$E$27</f>
        <v>724660.34533000004</v>
      </c>
      <c r="AW12" s="44"/>
      <c r="AX12" s="100">
        <f>'Building Typology'!$AN12*'FS - Unitary Capital'!AX12</f>
        <v>0</v>
      </c>
      <c r="AY12" s="100">
        <f>'Building Typology'!$AR12*'FS - Unitary Capital'!AY12</f>
        <v>1799.9030700000001</v>
      </c>
      <c r="AZ12" s="100">
        <f>'Building Typology'!$AX12*'FS - Unitary Capital'!AZ12</f>
        <v>54000</v>
      </c>
      <c r="BA12" s="100">
        <f>'Building Typology'!$AY12*'FS - Unitary Capital'!BA12</f>
        <v>33000</v>
      </c>
      <c r="BB12" s="100">
        <f>'Building Typology'!$AW12*'FS - Unitary Capital'!BB12</f>
        <v>0</v>
      </c>
      <c r="BC12" s="100">
        <f>'FS - Unitary Capital'!BC12</f>
        <v>0</v>
      </c>
      <c r="BD12" s="100">
        <f>'FS - Unitary Capital'!BD12</f>
        <v>0</v>
      </c>
      <c r="BE12" s="100">
        <f t="shared" ref="BE12:BE15" si="9">SUM(AX12,AY12,AZ12,BA12,BB12,BC12,BD12)</f>
        <v>88799.90307</v>
      </c>
      <c r="BF12" s="269">
        <f>BE12*'Global Inputs'!$E$27</f>
        <v>145498.641180195</v>
      </c>
      <c r="BG12" s="44"/>
    </row>
    <row r="13" spans="1:59" x14ac:dyDescent="0.3">
      <c r="A13" s="46" t="str">
        <f>IF('Building Typology'!A13=0," ",'Building Typology'!A13)</f>
        <v>High-rise hotel - gas boiler</v>
      </c>
      <c r="B13" s="44"/>
      <c r="C13" s="103">
        <f>'Building Typology'!Y13*'FS - Unitary Capital'!C13</f>
        <v>430385.35908567073</v>
      </c>
      <c r="D13" s="103">
        <f>'Building Typology'!AC13*'FS - Unitary Capital'!D13</f>
        <v>288298.62919549999</v>
      </c>
      <c r="E13" s="103">
        <f>'Building Typology'!$AX13*'FS - Unitary Capital'!E13</f>
        <v>0</v>
      </c>
      <c r="F13" s="103">
        <f>'Building Typology'!$AY13*'FS - Unitary Capital'!F13</f>
        <v>0</v>
      </c>
      <c r="G13" s="103">
        <f>'Building Typology'!AH13*'FS - Unitary Capital'!G13</f>
        <v>1213037.7104999998</v>
      </c>
      <c r="H13" s="103">
        <f>'FS - Unitary Capital'!H13</f>
        <v>0</v>
      </c>
      <c r="I13" s="103">
        <f>'FS - Unitary Capital'!I13</f>
        <v>0</v>
      </c>
      <c r="J13" s="100">
        <f t="shared" si="6"/>
        <v>1931721.6987811704</v>
      </c>
      <c r="K13" s="269">
        <f>J13*'Global Inputs'!$E$27</f>
        <v>3165126.0034529478</v>
      </c>
      <c r="L13" s="44"/>
      <c r="M13" s="103">
        <f>'FS - Unitary Capital'!K13*'FS - Unitary Capital'!M13</f>
        <v>4989975.177804878</v>
      </c>
      <c r="N13" s="103">
        <f>'FS - Unitary Capital'!L13*'FS - Unitary Capital'!N13</f>
        <v>1827772.3590083669</v>
      </c>
      <c r="O13" s="103">
        <f>'Building Typology'!AX13*'FS - Unitary Capital'!O13</f>
        <v>240000</v>
      </c>
      <c r="P13" s="103">
        <f>'Building Typology'!AY13*'FS - Unitary Capital'!P13</f>
        <v>0</v>
      </c>
      <c r="Q13" s="103">
        <f>'FS - Unitary Capital'!Q13</f>
        <v>0</v>
      </c>
      <c r="R13" s="103">
        <f>'FS - Unitary Capital'!R13</f>
        <v>1250000</v>
      </c>
      <c r="S13" s="100">
        <f t="shared" si="1"/>
        <v>8307747.5368132452</v>
      </c>
      <c r="T13" s="269">
        <f>S13*'Global Inputs'!$E$27</f>
        <v>13612244.339068502</v>
      </c>
      <c r="U13" s="44"/>
      <c r="V13" s="100">
        <f>'FS - Unitary Capital'!V13*'FS - Unitary Capital'!X13</f>
        <v>2794386.0995707312</v>
      </c>
      <c r="W13" s="100">
        <f>'FS - Unitary Capital'!W13*'FS - Unitary Capital'!Y13</f>
        <v>913886.17950418347</v>
      </c>
      <c r="X13" s="100">
        <f>'Building Typology'!AX13*'FS - Unitary Capital'!Z13</f>
        <v>240000</v>
      </c>
      <c r="Y13" s="100">
        <f>'Building Typology'!AY13*'FS - Unitary Capital'!AA13</f>
        <v>0</v>
      </c>
      <c r="Z13" s="100">
        <f>'FS - Unitary Capital'!AB13</f>
        <v>0</v>
      </c>
      <c r="AA13" s="100">
        <f>'FS - Unitary Capital'!AC13</f>
        <v>1250000</v>
      </c>
      <c r="AB13" s="100">
        <f t="shared" si="2"/>
        <v>5198272.2790749148</v>
      </c>
      <c r="AC13" s="269">
        <f>AB13*'Global Inputs'!$E$27</f>
        <v>8517369.1292642485</v>
      </c>
      <c r="AD13" s="44"/>
      <c r="AE13" s="103">
        <f>'FS - Unitary Capital'!AG13*'FS - Unitary Capital'!AI13</f>
        <v>4989975.177804878</v>
      </c>
      <c r="AF13" s="103">
        <f>'FS - Unitary Capital'!AH13*'FS - Unitary Capital'!AJ13</f>
        <v>1827772.3590083669</v>
      </c>
      <c r="AG13" s="103">
        <f>'Building Typology'!AX13*'FS - Unitary Capital'!AK13</f>
        <v>240000</v>
      </c>
      <c r="AH13" s="103">
        <f>'Building Typology'!AY13*'FS - Unitary Capital'!AL13</f>
        <v>0</v>
      </c>
      <c r="AI13" s="100">
        <f>'FS - Unitary Capital'!AM13*'FS - Unitary Capital'!AG13</f>
        <v>2058364.7608445119</v>
      </c>
      <c r="AJ13" s="103">
        <f>'FS - Unitary Capital'!AN13</f>
        <v>1000000</v>
      </c>
      <c r="AK13" s="100">
        <f t="shared" si="7"/>
        <v>10116112.297657758</v>
      </c>
      <c r="AL13" s="269">
        <f>AK13*'Global Inputs'!$E$27</f>
        <v>16575249.999712238</v>
      </c>
      <c r="AM13" s="44"/>
      <c r="AN13" s="100">
        <f>'Building Typology'!$AN13*'FS - Unitary Capital'!AP13</f>
        <v>219178.99756097558</v>
      </c>
      <c r="AO13" s="100">
        <f>'Building Typology'!$AR13*'FS - Unitary Capital'!AQ13</f>
        <v>73409.797999999995</v>
      </c>
      <c r="AP13" s="100">
        <f>'Building Typology'!AX13*'FS - Unitary Capital'!AR13</f>
        <v>0</v>
      </c>
      <c r="AQ13" s="100">
        <f>'Building Typology'!AY13*'FS - Unitary Capital'!AS13</f>
        <v>0</v>
      </c>
      <c r="AR13" s="100">
        <f>'Building Typology'!$AW13*'FS - Unitary Capital'!AT13</f>
        <v>1213037.7104999998</v>
      </c>
      <c r="AS13" s="100">
        <f>'FS - Unitary Capital'!AU13</f>
        <v>0</v>
      </c>
      <c r="AT13" s="100">
        <f>'FS - Unitary Capital'!AV13</f>
        <v>1500000</v>
      </c>
      <c r="AU13" s="100">
        <f t="shared" si="8"/>
        <v>3005626.5060609756</v>
      </c>
      <c r="AV13" s="269">
        <f>AU13*'Global Inputs'!$E$27</f>
        <v>4924719.0301809087</v>
      </c>
      <c r="AW13" s="44"/>
      <c r="AX13" s="100">
        <f>'Building Typology'!$AN13*'FS - Unitary Capital'!AX13</f>
        <v>430385.35908567073</v>
      </c>
      <c r="AY13" s="100">
        <f>'Building Typology'!$AR13*'FS - Unitary Capital'!AY13</f>
        <v>144149.31459775</v>
      </c>
      <c r="AZ13" s="100">
        <f>'Building Typology'!$AX13*'FS - Unitary Capital'!AZ13</f>
        <v>0</v>
      </c>
      <c r="BA13" s="100">
        <f>'Building Typology'!$AY13*'FS - Unitary Capital'!BA13</f>
        <v>0</v>
      </c>
      <c r="BB13" s="100">
        <f>'Building Typology'!$AW13*'FS - Unitary Capital'!BB13</f>
        <v>1213037.7104999998</v>
      </c>
      <c r="BC13" s="100">
        <f>'FS - Unitary Capital'!BC13</f>
        <v>0</v>
      </c>
      <c r="BD13" s="100">
        <f>'FS - Unitary Capital'!BD13</f>
        <v>0</v>
      </c>
      <c r="BE13" s="100">
        <f t="shared" si="9"/>
        <v>1787572.3841834206</v>
      </c>
      <c r="BF13" s="269">
        <f>BE13*'Global Inputs'!$E$27</f>
        <v>2928937.3514845348</v>
      </c>
      <c r="BG13" s="44"/>
    </row>
    <row r="14" spans="1:59" x14ac:dyDescent="0.3">
      <c r="A14" s="46" t="str">
        <f>IF('Building Typology'!A14=0," ",'Building Typology'!A14)</f>
        <v>High-rise hotel - electric</v>
      </c>
      <c r="B14" s="44"/>
      <c r="C14" s="103">
        <f>'Building Typology'!Y14*'FS - Unitary Capital'!C14</f>
        <v>0</v>
      </c>
      <c r="D14" s="103">
        <f>'Building Typology'!AC14*'FS - Unitary Capital'!D14</f>
        <v>0</v>
      </c>
      <c r="E14" s="103">
        <f>'Building Typology'!$AX14*'FS - Unitary Capital'!E14</f>
        <v>75000</v>
      </c>
      <c r="F14" s="103">
        <f>'Building Typology'!$AY14*'FS - Unitary Capital'!F14</f>
        <v>0</v>
      </c>
      <c r="G14" s="103">
        <f>'Building Typology'!AH14*'FS - Unitary Capital'!G14</f>
        <v>0</v>
      </c>
      <c r="H14" s="103">
        <f>'FS - Unitary Capital'!H14</f>
        <v>382500</v>
      </c>
      <c r="I14" s="103">
        <f>'FS - Unitary Capital'!I14</f>
        <v>0</v>
      </c>
      <c r="J14" s="100">
        <f t="shared" si="6"/>
        <v>457500</v>
      </c>
      <c r="K14" s="269">
        <f>J14*'Global Inputs'!$E$27</f>
        <v>749613.75</v>
      </c>
      <c r="L14" s="44"/>
      <c r="M14" s="103">
        <f>'FS - Unitary Capital'!K14*'FS - Unitary Capital'!M14</f>
        <v>0</v>
      </c>
      <c r="N14" s="103">
        <f>'FS - Unitary Capital'!L14*'FS - Unitary Capital'!N14</f>
        <v>1827772.3590083669</v>
      </c>
      <c r="O14" s="103">
        <f>'Building Typology'!AX14*'FS - Unitary Capital'!O14</f>
        <v>120000</v>
      </c>
      <c r="P14" s="103">
        <f>'Building Typology'!AY14*'FS - Unitary Capital'!P14</f>
        <v>0</v>
      </c>
      <c r="Q14" s="103">
        <f>'FS - Unitary Capital'!Q14</f>
        <v>0</v>
      </c>
      <c r="R14" s="103">
        <f>'FS - Unitary Capital'!R14</f>
        <v>200000</v>
      </c>
      <c r="S14" s="100">
        <f t="shared" si="1"/>
        <v>2147772.3590083672</v>
      </c>
      <c r="T14" s="269">
        <f>S14*'Global Inputs'!$E$27</f>
        <v>3519125.0102352099</v>
      </c>
      <c r="U14" s="44"/>
      <c r="V14" s="100">
        <f>'FS - Unitary Capital'!V14*'FS - Unitary Capital'!X14</f>
        <v>0</v>
      </c>
      <c r="W14" s="100">
        <f>'FS - Unitary Capital'!W14*'FS - Unitary Capital'!Y14</f>
        <v>913886.17950418347</v>
      </c>
      <c r="X14" s="100">
        <f>'Building Typology'!AX14*'FS - Unitary Capital'!Z14</f>
        <v>120000</v>
      </c>
      <c r="Y14" s="100">
        <f>'Building Typology'!AY14*'FS - Unitary Capital'!AA14</f>
        <v>0</v>
      </c>
      <c r="Z14" s="100">
        <f>'FS - Unitary Capital'!AB14</f>
        <v>0</v>
      </c>
      <c r="AA14" s="100">
        <f>'FS - Unitary Capital'!AC14</f>
        <v>200000</v>
      </c>
      <c r="AB14" s="100">
        <f t="shared" si="2"/>
        <v>1233886.1795041836</v>
      </c>
      <c r="AC14" s="269">
        <f>AB14*'Global Inputs'!$E$27</f>
        <v>2021722.505117605</v>
      </c>
      <c r="AD14" s="44"/>
      <c r="AE14" s="103">
        <f>'FS - Unitary Capital'!AG14*'FS - Unitary Capital'!AI14</f>
        <v>0</v>
      </c>
      <c r="AF14" s="103">
        <f>'FS - Unitary Capital'!AH14*'FS - Unitary Capital'!AJ14</f>
        <v>1827772.3590083669</v>
      </c>
      <c r="AG14" s="103">
        <f>'Building Typology'!AX14*'FS - Unitary Capital'!AK14</f>
        <v>120000</v>
      </c>
      <c r="AH14" s="103">
        <f>'Building Typology'!AY14*'FS - Unitary Capital'!AL14</f>
        <v>0</v>
      </c>
      <c r="AI14" s="100">
        <f>'FS - Unitary Capital'!AM14*'FS - Unitary Capital'!AG14</f>
        <v>2058364.7608445119</v>
      </c>
      <c r="AJ14" s="103">
        <f>'FS - Unitary Capital'!AN14</f>
        <v>150000</v>
      </c>
      <c r="AK14" s="100">
        <f t="shared" si="7"/>
        <v>4156137.1198528791</v>
      </c>
      <c r="AL14" s="269">
        <f>AK14*'Global Inputs'!$E$27</f>
        <v>6809830.6708789431</v>
      </c>
      <c r="AM14" s="44"/>
      <c r="AN14" s="100">
        <f>'Building Typology'!$AN14*'FS - Unitary Capital'!AP14</f>
        <v>0</v>
      </c>
      <c r="AO14" s="100">
        <f>'Building Typology'!$AR14*'FS - Unitary Capital'!AQ14</f>
        <v>0</v>
      </c>
      <c r="AP14" s="100">
        <f>'Building Typology'!AX14*'FS - Unitary Capital'!AR14</f>
        <v>75000</v>
      </c>
      <c r="AQ14" s="100">
        <f>'Building Typology'!AY14*'FS - Unitary Capital'!AS14</f>
        <v>0</v>
      </c>
      <c r="AR14" s="100">
        <f>'Building Typology'!$AW14*'FS - Unitary Capital'!AT14</f>
        <v>0</v>
      </c>
      <c r="AS14" s="100">
        <f>'FS - Unitary Capital'!AU14</f>
        <v>382500</v>
      </c>
      <c r="AT14" s="100">
        <f>'FS - Unitary Capital'!AV14</f>
        <v>400000</v>
      </c>
      <c r="AU14" s="100">
        <f t="shared" si="8"/>
        <v>857500</v>
      </c>
      <c r="AV14" s="269">
        <f>AU14*'Global Inputs'!$E$27</f>
        <v>1405013.75</v>
      </c>
      <c r="AW14" s="44"/>
      <c r="AX14" s="100">
        <f>'Building Typology'!$AN14*'FS - Unitary Capital'!AX14</f>
        <v>0</v>
      </c>
      <c r="AY14" s="100">
        <f>'Building Typology'!$AR14*'FS - Unitary Capital'!AY14</f>
        <v>0</v>
      </c>
      <c r="AZ14" s="100">
        <f>'Building Typology'!$AX14*'FS - Unitary Capital'!AZ14</f>
        <v>0</v>
      </c>
      <c r="BA14" s="100">
        <f>'Building Typology'!$AY14*'FS - Unitary Capital'!BA14</f>
        <v>0</v>
      </c>
      <c r="BB14" s="100">
        <f>'Building Typology'!$AW14*'FS - Unitary Capital'!BB14</f>
        <v>0</v>
      </c>
      <c r="BC14" s="100">
        <f>'FS - Unitary Capital'!BC14</f>
        <v>382500</v>
      </c>
      <c r="BD14" s="100">
        <f>'FS - Unitary Capital'!BD14</f>
        <v>0</v>
      </c>
      <c r="BE14" s="100">
        <f t="shared" si="9"/>
        <v>382500</v>
      </c>
      <c r="BF14" s="269">
        <f>BE14*'Global Inputs'!$E$27</f>
        <v>626726.25</v>
      </c>
      <c r="BG14" s="44"/>
    </row>
    <row r="15" spans="1:59" x14ac:dyDescent="0.3">
      <c r="A15" s="46" t="str">
        <f>IF('Building Typology'!A15=0," ",'Building Typology'!A15)</f>
        <v>Standalone retail</v>
      </c>
      <c r="B15" s="44"/>
      <c r="C15" s="103">
        <f>'Building Typology'!Y15*'FS - Unitary Capital'!C15</f>
        <v>0</v>
      </c>
      <c r="D15" s="103">
        <f>'Building Typology'!AC15*'FS - Unitary Capital'!D15</f>
        <v>0</v>
      </c>
      <c r="E15" s="103">
        <f>'Building Typology'!$AX15*'FS - Unitary Capital'!E15</f>
        <v>0</v>
      </c>
      <c r="F15" s="103">
        <f>'Building Typology'!$AY15*'FS - Unitary Capital'!F15</f>
        <v>11000</v>
      </c>
      <c r="G15" s="103">
        <f>'Building Typology'!AH15*'FS - Unitary Capital'!G15</f>
        <v>0</v>
      </c>
      <c r="H15" s="103">
        <f>'FS - Unitary Capital'!H15</f>
        <v>0</v>
      </c>
      <c r="I15" s="103">
        <f>'FS - Unitary Capital'!I15</f>
        <v>0</v>
      </c>
      <c r="J15" s="100">
        <f t="shared" si="6"/>
        <v>11000</v>
      </c>
      <c r="K15" s="269">
        <f>J15*'Global Inputs'!$E$27</f>
        <v>18023.5</v>
      </c>
      <c r="L15" s="44"/>
      <c r="M15" s="103">
        <f>'FS - Unitary Capital'!K15*'FS - Unitary Capital'!M15</f>
        <v>66043.164238333324</v>
      </c>
      <c r="N15" s="103">
        <f>'FS - Unitary Capital'!L15*'FS - Unitary Capital'!N15</f>
        <v>0</v>
      </c>
      <c r="O15" s="103">
        <f>'Building Typology'!AX15*'FS - Unitary Capital'!O15</f>
        <v>14400</v>
      </c>
      <c r="P15" s="103">
        <f>'Building Typology'!AY15*'FS - Unitary Capital'!P15</f>
        <v>0</v>
      </c>
      <c r="Q15" s="103">
        <f>'FS - Unitary Capital'!Q15</f>
        <v>0</v>
      </c>
      <c r="R15" s="103">
        <f>'FS - Unitary Capital'!R15</f>
        <v>40000</v>
      </c>
      <c r="S15" s="100">
        <f t="shared" si="1"/>
        <v>120443.16423833332</v>
      </c>
      <c r="T15" s="269">
        <f>S15*'Global Inputs'!$E$27</f>
        <v>197346.12460450915</v>
      </c>
      <c r="U15" s="44"/>
      <c r="V15" s="100">
        <f>'FS - Unitary Capital'!V15*'FS - Unitary Capital'!X15</f>
        <v>36984.171973466662</v>
      </c>
      <c r="W15" s="100">
        <f>'FS - Unitary Capital'!W15*'FS - Unitary Capital'!Y15</f>
        <v>0</v>
      </c>
      <c r="X15" s="100">
        <f>'Building Typology'!AX15*'FS - Unitary Capital'!Z15</f>
        <v>14400</v>
      </c>
      <c r="Y15" s="100">
        <f>'Building Typology'!AY15*'FS - Unitary Capital'!AA15</f>
        <v>0</v>
      </c>
      <c r="Z15" s="100">
        <f>'FS - Unitary Capital'!AB15</f>
        <v>0</v>
      </c>
      <c r="AA15" s="100">
        <f>'FS - Unitary Capital'!AC15</f>
        <v>40000</v>
      </c>
      <c r="AB15" s="100">
        <f t="shared" si="2"/>
        <v>91384.171973466669</v>
      </c>
      <c r="AC15" s="269">
        <f>AB15*'Global Inputs'!$E$27</f>
        <v>149732.96577852513</v>
      </c>
      <c r="AD15" s="44"/>
      <c r="AE15" s="103">
        <f>'FS - Unitary Capital'!AG15*'FS - Unitary Capital'!AI15</f>
        <v>66043.164238333324</v>
      </c>
      <c r="AF15" s="103">
        <f>'FS - Unitary Capital'!AH15*'FS - Unitary Capital'!AJ15</f>
        <v>0</v>
      </c>
      <c r="AG15" s="103">
        <f>'Building Typology'!AX15*'FS - Unitary Capital'!AK15</f>
        <v>14400</v>
      </c>
      <c r="AH15" s="103">
        <f>'Building Typology'!AY15*'FS - Unitary Capital'!AL15</f>
        <v>0</v>
      </c>
      <c r="AI15" s="100">
        <f>'FS - Unitary Capital'!AM15*'FS - Unitary Capital'!AG15</f>
        <v>15567.317284749999</v>
      </c>
      <c r="AJ15" s="103">
        <f>'FS - Unitary Capital'!AN15</f>
        <v>40000</v>
      </c>
      <c r="AK15" s="100">
        <f t="shared" si="7"/>
        <v>136010.48152308332</v>
      </c>
      <c r="AL15" s="269">
        <f>AK15*'Global Inputs'!$E$27</f>
        <v>222853.17397557202</v>
      </c>
      <c r="AM15" s="44"/>
      <c r="AN15" s="100">
        <f>'Building Typology'!$AN15*'FS - Unitary Capital'!AP15</f>
        <v>0</v>
      </c>
      <c r="AO15" s="100">
        <f>'Building Typology'!$AR15*'FS - Unitary Capital'!AQ15</f>
        <v>0</v>
      </c>
      <c r="AP15" s="100">
        <f>'Building Typology'!AX15*'FS - Unitary Capital'!AR15</f>
        <v>0</v>
      </c>
      <c r="AQ15" s="100">
        <f>'Building Typology'!AY15*'FS - Unitary Capital'!AS15</f>
        <v>11000</v>
      </c>
      <c r="AR15" s="100">
        <f>'Building Typology'!$AW15*'FS - Unitary Capital'!AT15</f>
        <v>0</v>
      </c>
      <c r="AS15" s="100">
        <f>'FS - Unitary Capital'!AU15</f>
        <v>0</v>
      </c>
      <c r="AT15" s="100">
        <f>'FS - Unitary Capital'!AV15</f>
        <v>40000</v>
      </c>
      <c r="AU15" s="100">
        <f t="shared" si="8"/>
        <v>51000</v>
      </c>
      <c r="AV15" s="269">
        <f>AU15*'Global Inputs'!$E$27</f>
        <v>83563.5</v>
      </c>
      <c r="AW15" s="44"/>
      <c r="AX15" s="100">
        <f>'Building Typology'!$AN15*'FS - Unitary Capital'!AX15</f>
        <v>0</v>
      </c>
      <c r="AY15" s="100">
        <f>'Building Typology'!$AR15*'FS - Unitary Capital'!AY15</f>
        <v>0</v>
      </c>
      <c r="AZ15" s="100">
        <f>'Building Typology'!$AX15*'FS - Unitary Capital'!AZ15</f>
        <v>0</v>
      </c>
      <c r="BA15" s="100">
        <f>'Building Typology'!$AY15*'FS - Unitary Capital'!BA15</f>
        <v>11000</v>
      </c>
      <c r="BB15" s="100">
        <f>'Building Typology'!$AW15*'FS - Unitary Capital'!BB15</f>
        <v>0</v>
      </c>
      <c r="BC15" s="100">
        <f>'FS - Unitary Capital'!BC15</f>
        <v>0</v>
      </c>
      <c r="BD15" s="100">
        <f>'FS - Unitary Capital'!BD15</f>
        <v>0</v>
      </c>
      <c r="BE15" s="100">
        <f t="shared" si="9"/>
        <v>11000</v>
      </c>
      <c r="BF15" s="269">
        <f>BE15*'Global Inputs'!$E$27</f>
        <v>18023.5</v>
      </c>
      <c r="BG15" s="44"/>
    </row>
    <row r="16" spans="1:59" x14ac:dyDescent="0.3">
      <c r="A16" s="46" t="str">
        <f>IF('Building Typology'!A16=0," ",'Building Typology'!A16)</f>
        <v>Mall retail</v>
      </c>
      <c r="B16" s="44"/>
      <c r="C16" s="103">
        <f>'Building Typology'!Y16*'FS - Unitary Capital'!C16</f>
        <v>338180.21019999997</v>
      </c>
      <c r="D16" s="103">
        <f>'Building Typology'!AC16*'FS - Unitary Capital'!D16</f>
        <v>49590.768392499995</v>
      </c>
      <c r="E16" s="103">
        <f>'Building Typology'!$AX16*'FS - Unitary Capital'!E16</f>
        <v>0</v>
      </c>
      <c r="F16" s="103">
        <f>'Building Typology'!$AY16*'FS - Unitary Capital'!F16</f>
        <v>0</v>
      </c>
      <c r="G16" s="103">
        <f>'Building Typology'!AH16*'FS - Unitary Capital'!G16</f>
        <v>2021729.5174999998</v>
      </c>
      <c r="H16" s="103">
        <f>'FS - Unitary Capital'!H16</f>
        <v>0</v>
      </c>
      <c r="I16" s="103">
        <f>'FS - Unitary Capital'!I16</f>
        <v>0</v>
      </c>
      <c r="J16" s="100">
        <f>SUM(C16,D16,E16,F16,G16,H16,I16)</f>
        <v>2409500.4960924997</v>
      </c>
      <c r="K16" s="269">
        <f>J16*'Global Inputs'!$E$27</f>
        <v>3947966.5628475607</v>
      </c>
      <c r="L16" s="44"/>
      <c r="M16" s="103">
        <f>'FS - Unitary Capital'!K16*'FS - Unitary Capital'!M16</f>
        <v>4717368.8741666665</v>
      </c>
      <c r="N16" s="103">
        <f>'FS - Unitary Capital'!L16*'FS - Unitary Capital'!N16</f>
        <v>240129.62370549797</v>
      </c>
      <c r="O16" s="103">
        <f>'Building Typology'!AX16*'FS - Unitary Capital'!O16</f>
        <v>0</v>
      </c>
      <c r="P16" s="103">
        <f>'Building Typology'!AY16*'FS - Unitary Capital'!P16</f>
        <v>0</v>
      </c>
      <c r="Q16" s="103">
        <f>'FS - Unitary Capital'!Q16</f>
        <v>1200000</v>
      </c>
      <c r="R16" s="103">
        <f>'FS - Unitary Capital'!R16</f>
        <v>750000</v>
      </c>
      <c r="S16" s="100">
        <f t="shared" si="1"/>
        <v>6907498.4978721645</v>
      </c>
      <c r="T16" s="269">
        <f>S16*'Global Inputs'!$E$27</f>
        <v>11317936.288763542</v>
      </c>
      <c r="U16" s="44"/>
      <c r="V16" s="100">
        <f>'FS - Unitary Capital'!V16*'FS - Unitary Capital'!X16</f>
        <v>2641726.5695333327</v>
      </c>
      <c r="W16" s="100">
        <f>'FS - Unitary Capital'!W16*'FS - Unitary Capital'!Y16</f>
        <v>120064.81185274899</v>
      </c>
      <c r="X16" s="100">
        <f>'Building Typology'!AX16*'FS - Unitary Capital'!Z16</f>
        <v>0</v>
      </c>
      <c r="Y16" s="100">
        <f>'Building Typology'!AY16*'FS - Unitary Capital'!AA16</f>
        <v>0</v>
      </c>
      <c r="Z16" s="100">
        <f>'FS - Unitary Capital'!AB16</f>
        <v>770000</v>
      </c>
      <c r="AA16" s="100">
        <f>'FS - Unitary Capital'!AC16</f>
        <v>750000</v>
      </c>
      <c r="AB16" s="100">
        <f t="shared" si="2"/>
        <v>4281791.3813860817</v>
      </c>
      <c r="AC16" s="269">
        <f>AB16*'Global Inputs'!$E$27</f>
        <v>7015715.1784010949</v>
      </c>
      <c r="AD16" s="44"/>
      <c r="AE16" s="103">
        <f>'FS - Unitary Capital'!AG16*'FS - Unitary Capital'!AI16</f>
        <v>4717368.8741666665</v>
      </c>
      <c r="AF16" s="103">
        <f>'FS - Unitary Capital'!AH16*'FS - Unitary Capital'!AJ16</f>
        <v>240129.62370549797</v>
      </c>
      <c r="AG16" s="103">
        <f>'Building Typology'!AX16*'FS - Unitary Capital'!AK16</f>
        <v>0</v>
      </c>
      <c r="AH16" s="103">
        <f>'Building Typology'!AY16*'FS - Unitary Capital'!AL16</f>
        <v>0</v>
      </c>
      <c r="AI16" s="100">
        <f>'FS - Unitary Capital'!AM16*'FS - Unitary Capital'!AG16</f>
        <v>2223902.4692500001</v>
      </c>
      <c r="AJ16" s="103">
        <f>'FS - Unitary Capital'!AN16</f>
        <v>750000</v>
      </c>
      <c r="AK16" s="100">
        <f t="shared" si="7"/>
        <v>7931400.9671221646</v>
      </c>
      <c r="AL16" s="269">
        <f>AK16*'Global Inputs'!$E$27</f>
        <v>12995600.484629666</v>
      </c>
      <c r="AM16" s="44"/>
      <c r="AN16" s="100">
        <f>'Building Typology'!$AN16*'FS - Unitary Capital'!AP16</f>
        <v>172222.4</v>
      </c>
      <c r="AO16" s="100">
        <f>'Building Typology'!$AR16*'FS - Unitary Capital'!AQ16</f>
        <v>15069.459999999997</v>
      </c>
      <c r="AP16" s="100">
        <f>'Building Typology'!AX16*'FS - Unitary Capital'!AR16</f>
        <v>0</v>
      </c>
      <c r="AQ16" s="100">
        <f>'Building Typology'!AY16*'FS - Unitary Capital'!AS16</f>
        <v>0</v>
      </c>
      <c r="AR16" s="100">
        <f>'Building Typology'!$AW16*'FS - Unitary Capital'!AT16</f>
        <v>2021729.5174999998</v>
      </c>
      <c r="AS16" s="100">
        <f>'FS - Unitary Capital'!AU16</f>
        <v>0</v>
      </c>
      <c r="AT16" s="100">
        <f>'FS - Unitary Capital'!AV16</f>
        <v>1500000</v>
      </c>
      <c r="AU16" s="100">
        <f>SUM(AN16,AO16,AP16,AQ16,AR16,AS16,AT16)</f>
        <v>3709021.3774999999</v>
      </c>
      <c r="AV16" s="269">
        <f>AU16*'Global Inputs'!$E$27</f>
        <v>6077231.52703375</v>
      </c>
      <c r="AW16" s="44"/>
      <c r="AX16" s="100">
        <f>'Building Typology'!$AN16*'FS - Unitary Capital'!AX16</f>
        <v>338180.21019999997</v>
      </c>
      <c r="AY16" s="100">
        <f>'Building Typology'!$AR16*'FS - Unitary Capital'!AY16</f>
        <v>14795.384196249997</v>
      </c>
      <c r="AZ16" s="100">
        <f>'Building Typology'!$AX16*'FS - Unitary Capital'!AZ16</f>
        <v>0</v>
      </c>
      <c r="BA16" s="100">
        <f>'Building Typology'!$AY16*'FS - Unitary Capital'!BA16</f>
        <v>0</v>
      </c>
      <c r="BB16" s="100">
        <f>'Building Typology'!$AW16*'FS - Unitary Capital'!BB16</f>
        <v>2021729.5174999998</v>
      </c>
      <c r="BC16" s="100">
        <f>'FS - Unitary Capital'!BC16</f>
        <v>0</v>
      </c>
      <c r="BD16" s="100">
        <f>'FS - Unitary Capital'!BD16</f>
        <v>0</v>
      </c>
      <c r="BE16" s="100">
        <f>SUM(AX16,AY16,AZ16,BA16,BB16,BC16,BD16)</f>
        <v>2374705.1118962499</v>
      </c>
      <c r="BF16" s="269">
        <f>BE16*'Global Inputs'!$E$27</f>
        <v>3890954.3258420057</v>
      </c>
      <c r="BG16" s="44"/>
    </row>
    <row r="17" spans="1:59" x14ac:dyDescent="0.3">
      <c r="A17" s="44" t="str">
        <f>IF('Building Typology'!A17=0," ",'Building Typology'!A17)</f>
        <v xml:space="preserve"> </v>
      </c>
      <c r="B17" s="44"/>
      <c r="C17" s="108"/>
      <c r="D17" s="108"/>
      <c r="E17" s="108"/>
      <c r="F17" s="108"/>
      <c r="G17" s="108"/>
      <c r="H17" s="108"/>
      <c r="I17" s="108"/>
      <c r="J17" s="108"/>
      <c r="K17" s="270"/>
      <c r="L17" s="44"/>
      <c r="M17" s="110"/>
      <c r="N17" s="110"/>
      <c r="O17" s="108"/>
      <c r="P17" s="108"/>
      <c r="Q17" s="108"/>
      <c r="R17" s="108"/>
      <c r="S17" s="108"/>
      <c r="T17" s="270"/>
      <c r="U17" s="44"/>
      <c r="V17" s="110"/>
      <c r="W17" s="110"/>
      <c r="X17" s="108"/>
      <c r="Y17" s="108"/>
      <c r="Z17" s="108"/>
      <c r="AA17" s="108"/>
      <c r="AB17" s="108"/>
      <c r="AC17" s="270"/>
      <c r="AD17" s="44"/>
      <c r="AE17" s="110"/>
      <c r="AF17" s="110"/>
      <c r="AG17" s="110"/>
      <c r="AH17" s="110"/>
      <c r="AI17" s="108"/>
      <c r="AJ17" s="108"/>
      <c r="AK17" s="108"/>
      <c r="AL17" s="270"/>
      <c r="AM17" s="44"/>
      <c r="AN17" s="108"/>
      <c r="AO17" s="108"/>
      <c r="AP17" s="108"/>
      <c r="AQ17" s="108"/>
      <c r="AR17" s="108"/>
      <c r="AS17" s="108"/>
      <c r="AT17" s="108"/>
      <c r="AU17" s="108"/>
      <c r="AV17" s="270"/>
      <c r="AW17" s="44"/>
      <c r="AX17" s="108"/>
      <c r="AY17" s="108"/>
      <c r="AZ17" s="108"/>
      <c r="BA17" s="108"/>
      <c r="BB17" s="108"/>
      <c r="BC17" s="108"/>
      <c r="BD17" s="108"/>
      <c r="BE17" s="108"/>
      <c r="BF17" s="270"/>
      <c r="BG17" s="44"/>
    </row>
    <row r="18" spans="1:59" ht="16.5" x14ac:dyDescent="0.3">
      <c r="A18" s="98" t="str">
        <f>IF('Building Typology'!A18=0," ",'Building Typology'!A18)</f>
        <v>MULTI-UNIT RESIDENTIAL</v>
      </c>
      <c r="B18" s="44"/>
      <c r="C18" s="100"/>
      <c r="D18" s="100"/>
      <c r="E18" s="100"/>
      <c r="F18" s="100"/>
      <c r="G18" s="100"/>
      <c r="H18" s="100"/>
      <c r="I18" s="100"/>
      <c r="J18" s="100"/>
      <c r="K18" s="269"/>
      <c r="L18" s="44"/>
      <c r="M18" s="107"/>
      <c r="N18" s="107"/>
      <c r="O18" s="100"/>
      <c r="P18" s="100"/>
      <c r="Q18" s="103"/>
      <c r="R18" s="103"/>
      <c r="S18" s="103"/>
      <c r="T18" s="269"/>
      <c r="U18" s="44"/>
      <c r="V18" s="107"/>
      <c r="W18" s="107"/>
      <c r="X18" s="100"/>
      <c r="Y18" s="100"/>
      <c r="Z18" s="100"/>
      <c r="AA18" s="100"/>
      <c r="AB18" s="100"/>
      <c r="AC18" s="269"/>
      <c r="AD18" s="44"/>
      <c r="AE18" s="107"/>
      <c r="AF18" s="107"/>
      <c r="AG18" s="107"/>
      <c r="AH18" s="107"/>
      <c r="AI18" s="100"/>
      <c r="AJ18" s="103"/>
      <c r="AK18" s="100"/>
      <c r="AL18" s="269"/>
      <c r="AM18" s="44"/>
      <c r="AN18" s="100"/>
      <c r="AO18" s="100"/>
      <c r="AP18" s="100"/>
      <c r="AQ18" s="100"/>
      <c r="AR18" s="100"/>
      <c r="AS18" s="100"/>
      <c r="AT18" s="100"/>
      <c r="AU18" s="100"/>
      <c r="AV18" s="269"/>
      <c r="AW18" s="44"/>
      <c r="AX18" s="100"/>
      <c r="AY18" s="100"/>
      <c r="AZ18" s="100"/>
      <c r="BA18" s="100"/>
      <c r="BB18" s="100"/>
      <c r="BC18" s="100"/>
      <c r="BD18" s="100"/>
      <c r="BE18" s="100"/>
      <c r="BF18" s="269"/>
      <c r="BG18" s="44"/>
    </row>
    <row r="19" spans="1:59" x14ac:dyDescent="0.3">
      <c r="A19" s="46" t="str">
        <f>IF('Building Typology'!A19=0," ",'Building Typology'!A19)</f>
        <v>Pre-2004 apartment - gas boiler</v>
      </c>
      <c r="B19" s="44"/>
      <c r="C19" s="103">
        <f>'Building Typology'!Y19*'FS - Unitary Capital'!C19</f>
        <v>422302.53748725</v>
      </c>
      <c r="D19" s="103">
        <f>'Building Typology'!AC19*'FS - Unitary Capital'!D19</f>
        <v>289531.96883945132</v>
      </c>
      <c r="E19" s="103">
        <f>'Building Typology'!$AX19*'FS - Unitary Capital'!E19</f>
        <v>0</v>
      </c>
      <c r="F19" s="103">
        <f>'Building Typology'!$AY19*'FS - Unitary Capital'!F19</f>
        <v>0</v>
      </c>
      <c r="G19" s="103">
        <f>'Building Typology'!AH19*'FS - Unitary Capital'!G19</f>
        <v>1224065.3260499998</v>
      </c>
      <c r="H19" s="103">
        <f>'FS - Unitary Capital'!H19</f>
        <v>0</v>
      </c>
      <c r="I19" s="103">
        <f>'FS - Unitary Capital'!I19</f>
        <v>0</v>
      </c>
      <c r="J19" s="100">
        <f t="shared" ref="J19:J20" si="10">SUM(C19,D19,E19,F19,G19,H19,I19)</f>
        <v>1935899.8323767011</v>
      </c>
      <c r="K19" s="269">
        <f>J19*'Global Inputs'!$E$27</f>
        <v>3171971.875349225</v>
      </c>
      <c r="L19" s="44"/>
      <c r="M19" s="103">
        <f>'FS - Unitary Capital'!K19*'FS - Unitary Capital'!M19</f>
        <v>4896261.3041999992</v>
      </c>
      <c r="N19" s="103">
        <f>'FS - Unitary Capital'!L19*'FS - Unitary Capital'!N19</f>
        <v>1835591.5571667969</v>
      </c>
      <c r="O19" s="103">
        <f>'Building Typology'!AX19*'FS - Unitary Capital'!O19</f>
        <v>240000</v>
      </c>
      <c r="P19" s="103">
        <f>'Building Typology'!AY19*'FS - Unitary Capital'!P19</f>
        <v>0</v>
      </c>
      <c r="Q19" s="103">
        <f>'FS - Unitary Capital'!Q19</f>
        <v>0</v>
      </c>
      <c r="R19" s="103">
        <f>'FS - Unitary Capital'!R19</f>
        <v>1250000</v>
      </c>
      <c r="S19" s="100">
        <f t="shared" si="1"/>
        <v>8221852.8613667963</v>
      </c>
      <c r="T19" s="269">
        <f>S19*'Global Inputs'!$E$27</f>
        <v>13471505.913349496</v>
      </c>
      <c r="U19" s="44"/>
      <c r="V19" s="100">
        <f>'FS - Unitary Capital'!V19*'FS - Unitary Capital'!X19</f>
        <v>2741906.330351999</v>
      </c>
      <c r="W19" s="100">
        <f>'FS - Unitary Capital'!W19*'FS - Unitary Capital'!Y19</f>
        <v>917795.77858339844</v>
      </c>
      <c r="X19" s="100">
        <f>'Building Typology'!AX19*'FS - Unitary Capital'!Z19</f>
        <v>240000</v>
      </c>
      <c r="Y19" s="100">
        <f>'Building Typology'!AY19*'FS - Unitary Capital'!AA19</f>
        <v>0</v>
      </c>
      <c r="Z19" s="100">
        <f>'FS - Unitary Capital'!AB19</f>
        <v>0</v>
      </c>
      <c r="AA19" s="100">
        <f>'FS - Unitary Capital'!AC19</f>
        <v>1250000</v>
      </c>
      <c r="AB19" s="100">
        <f t="shared" si="2"/>
        <v>5149702.1089353971</v>
      </c>
      <c r="AC19" s="269">
        <f>AB19*'Global Inputs'!$E$27</f>
        <v>8437786.905490648</v>
      </c>
      <c r="AD19" s="44"/>
      <c r="AE19" s="103">
        <f>'FS - Unitary Capital'!AG19*'FS - Unitary Capital'!AI19</f>
        <v>2981950</v>
      </c>
      <c r="AF19" s="103">
        <f>'FS - Unitary Capital'!AH19*'FS - Unitary Capital'!AJ19</f>
        <v>1835591.5571667969</v>
      </c>
      <c r="AG19" s="103">
        <f>'Building Typology'!AX19*'FS - Unitary Capital'!AK19</f>
        <v>84000</v>
      </c>
      <c r="AH19" s="103">
        <f>'Building Typology'!AY19*'FS - Unitary Capital'!AL19</f>
        <v>0</v>
      </c>
      <c r="AI19" s="100">
        <f>'FS - Unitary Capital'!AM19*'FS - Unitary Capital'!AG19</f>
        <v>2019707.7879824997</v>
      </c>
      <c r="AJ19" s="103">
        <f>'FS - Unitary Capital'!AN19</f>
        <v>300000</v>
      </c>
      <c r="AK19" s="100">
        <f t="shared" ref="AK19:AK20" si="11">SUM(AE19,AF19,AG19,AH19,AI19,AJ19)</f>
        <v>7221249.3451492973</v>
      </c>
      <c r="AL19" s="269">
        <f>AK19*'Global Inputs'!$E$27</f>
        <v>11832017.052027125</v>
      </c>
      <c r="AM19" s="44"/>
      <c r="AN19" s="100">
        <f>'Building Typology'!$AN19*'FS - Unitary Capital'!AP19</f>
        <v>215062.72199999998</v>
      </c>
      <c r="AO19" s="100">
        <f>'Building Typology'!$AR19*'FS - Unitary Capital'!AQ19</f>
        <v>73723.844634146342</v>
      </c>
      <c r="AP19" s="100">
        <f>'Building Typology'!AX19*'FS - Unitary Capital'!AR19</f>
        <v>0</v>
      </c>
      <c r="AQ19" s="100">
        <f>'Building Typology'!AY19*'FS - Unitary Capital'!AS19</f>
        <v>0</v>
      </c>
      <c r="AR19" s="100">
        <f>'Building Typology'!$AW19*'FS - Unitary Capital'!AT19</f>
        <v>1224065.3260499998</v>
      </c>
      <c r="AS19" s="100">
        <f>'FS - Unitary Capital'!AU19</f>
        <v>0</v>
      </c>
      <c r="AT19" s="100">
        <f>'FS - Unitary Capital'!AV19</f>
        <v>1500000</v>
      </c>
      <c r="AU19" s="100">
        <f t="shared" ref="AU19:AU20" si="12">SUM(AN19,AO19,AP19,AQ19,AR19,AS19,AT19)</f>
        <v>3012851.8926841458</v>
      </c>
      <c r="AV19" s="269">
        <f>AU19*'Global Inputs'!$E$27</f>
        <v>4936557.8261629734</v>
      </c>
      <c r="AW19" s="44"/>
      <c r="AX19" s="100">
        <f>'Building Typology'!$AN19*'FS - Unitary Capital'!AX19</f>
        <v>422302.53748725</v>
      </c>
      <c r="AY19" s="100">
        <f>'Building Typology'!$AR19*'FS - Unitary Capital'!AY19</f>
        <v>144765.98441972566</v>
      </c>
      <c r="AZ19" s="100">
        <f>'Building Typology'!$AX19*'FS - Unitary Capital'!AZ19</f>
        <v>0</v>
      </c>
      <c r="BA19" s="100">
        <f>'Building Typology'!$AY19*'FS - Unitary Capital'!BA19</f>
        <v>0</v>
      </c>
      <c r="BB19" s="100">
        <f>'Building Typology'!$AW19*'FS - Unitary Capital'!BB19</f>
        <v>1224065.3260499998</v>
      </c>
      <c r="BC19" s="100">
        <f>'FS - Unitary Capital'!BC19</f>
        <v>0</v>
      </c>
      <c r="BD19" s="100">
        <f>'FS - Unitary Capital'!BD19</f>
        <v>0</v>
      </c>
      <c r="BE19" s="100">
        <f t="shared" ref="BE19:BE20" si="13">SUM(AX19,AY19,AZ19,BA19,BB19,BC19,BD19)</f>
        <v>1791133.8479569755</v>
      </c>
      <c r="BF19" s="269">
        <f>BE19*'Global Inputs'!$E$27</f>
        <v>2934772.8098775046</v>
      </c>
      <c r="BG19" s="44"/>
    </row>
    <row r="20" spans="1:59" x14ac:dyDescent="0.3">
      <c r="A20" s="46" t="str">
        <f>IF('Building Typology'!A20=0," ",'Building Typology'!A20)</f>
        <v>Pre-2004 apartment - electric</v>
      </c>
      <c r="B20" s="44"/>
      <c r="C20" s="103">
        <f>'Building Typology'!Y20*'FS - Unitary Capital'!C20</f>
        <v>0</v>
      </c>
      <c r="D20" s="103">
        <f>'Building Typology'!AC20*'FS - Unitary Capital'!D20</f>
        <v>289531.96883945132</v>
      </c>
      <c r="E20" s="103">
        <f>'Building Typology'!$AX20*'FS - Unitary Capital'!E20</f>
        <v>180000</v>
      </c>
      <c r="F20" s="103">
        <f>'Building Typology'!$AY20*'FS - Unitary Capital'!F20</f>
        <v>0</v>
      </c>
      <c r="G20" s="103">
        <f>'Building Typology'!AH20*'FS - Unitary Capital'!G20</f>
        <v>1196935.54155</v>
      </c>
      <c r="H20" s="103">
        <f>'FS - Unitary Capital'!H20</f>
        <v>0</v>
      </c>
      <c r="I20" s="103">
        <f>'FS - Unitary Capital'!I20</f>
        <v>0</v>
      </c>
      <c r="J20" s="100">
        <f t="shared" si="10"/>
        <v>1666467.5103894514</v>
      </c>
      <c r="K20" s="269">
        <f>J20*'Global Inputs'!$E$27</f>
        <v>2730507.0157731161</v>
      </c>
      <c r="L20" s="44"/>
      <c r="M20" s="103">
        <f>'FS - Unitary Capital'!K20*'FS - Unitary Capital'!M20</f>
        <v>0</v>
      </c>
      <c r="N20" s="103">
        <f>'FS - Unitary Capital'!L20*'FS - Unitary Capital'!N20</f>
        <v>1835591.5571667969</v>
      </c>
      <c r="O20" s="103">
        <f>'Building Typology'!AX20*'FS - Unitary Capital'!O20</f>
        <v>120000</v>
      </c>
      <c r="P20" s="103">
        <f>'Building Typology'!AY20*'FS - Unitary Capital'!P20</f>
        <v>0</v>
      </c>
      <c r="Q20" s="103">
        <f>'FS - Unitary Capital'!Q20</f>
        <v>0</v>
      </c>
      <c r="R20" s="103">
        <f>'FS - Unitary Capital'!R20</f>
        <v>250000</v>
      </c>
      <c r="S20" s="100">
        <f t="shared" si="1"/>
        <v>2205591.5571667971</v>
      </c>
      <c r="T20" s="269">
        <f>S20*'Global Inputs'!$E$27</f>
        <v>3613861.7664177972</v>
      </c>
      <c r="U20" s="44"/>
      <c r="V20" s="100">
        <f>'FS - Unitary Capital'!V20*'FS - Unitary Capital'!X20</f>
        <v>0</v>
      </c>
      <c r="W20" s="100">
        <f>'FS - Unitary Capital'!W20*'FS - Unitary Capital'!Y20</f>
        <v>917795.77858339844</v>
      </c>
      <c r="X20" s="100">
        <f>'Building Typology'!AX20*'FS - Unitary Capital'!Z20</f>
        <v>120000</v>
      </c>
      <c r="Y20" s="100">
        <f>'Building Typology'!AY20*'FS - Unitary Capital'!AA20</f>
        <v>0</v>
      </c>
      <c r="Z20" s="100">
        <f>'FS - Unitary Capital'!AB20</f>
        <v>0</v>
      </c>
      <c r="AA20" s="100">
        <f>'FS - Unitary Capital'!AC20</f>
        <v>250000</v>
      </c>
      <c r="AB20" s="100">
        <f t="shared" si="2"/>
        <v>1287795.7785833986</v>
      </c>
      <c r="AC20" s="269">
        <f>AB20*'Global Inputs'!$E$27</f>
        <v>2110053.3832088988</v>
      </c>
      <c r="AD20" s="44"/>
      <c r="AE20" s="103">
        <f>'FS - Unitary Capital'!AG20*'FS - Unitary Capital'!AI20</f>
        <v>0</v>
      </c>
      <c r="AF20" s="103">
        <f>'FS - Unitary Capital'!AH20*'FS - Unitary Capital'!AJ20</f>
        <v>1835591.5571667969</v>
      </c>
      <c r="AG20" s="103">
        <f>'Building Typology'!AX20*'FS - Unitary Capital'!AK20</f>
        <v>90000</v>
      </c>
      <c r="AH20" s="103">
        <f>'Building Typology'!AY20*'FS - Unitary Capital'!AL20</f>
        <v>0</v>
      </c>
      <c r="AI20" s="100">
        <f>'FS - Unitary Capital'!AM20*'FS - Unitary Capital'!AG20</f>
        <v>2019707.7879824997</v>
      </c>
      <c r="AJ20" s="103">
        <f>'FS - Unitary Capital'!AN20</f>
        <v>300000</v>
      </c>
      <c r="AK20" s="100">
        <f t="shared" si="11"/>
        <v>4245299.3451492963</v>
      </c>
      <c r="AL20" s="269">
        <f>AK20*'Global Inputs'!$E$27</f>
        <v>6955922.9770271219</v>
      </c>
      <c r="AM20" s="44"/>
      <c r="AN20" s="100">
        <f>'Building Typology'!$AN20*'FS - Unitary Capital'!AP20</f>
        <v>0</v>
      </c>
      <c r="AO20" s="100">
        <f>'Building Typology'!$AR20*'FS - Unitary Capital'!AQ20</f>
        <v>73723.844634146342</v>
      </c>
      <c r="AP20" s="100">
        <f>'Building Typology'!AX20*'FS - Unitary Capital'!AR20</f>
        <v>180000</v>
      </c>
      <c r="AQ20" s="100">
        <f>'Building Typology'!AY20*'FS - Unitary Capital'!AS20</f>
        <v>0</v>
      </c>
      <c r="AR20" s="100">
        <f>'Building Typology'!$AW20*'FS - Unitary Capital'!AT20</f>
        <v>1196935.54155</v>
      </c>
      <c r="AS20" s="100">
        <f>'FS - Unitary Capital'!AU20</f>
        <v>0</v>
      </c>
      <c r="AT20" s="100">
        <f>'FS - Unitary Capital'!AV20</f>
        <v>400000</v>
      </c>
      <c r="AU20" s="100">
        <f t="shared" si="12"/>
        <v>1850659.3861841464</v>
      </c>
      <c r="AV20" s="269">
        <f>AU20*'Global Inputs'!$E$27</f>
        <v>3032305.4042627239</v>
      </c>
      <c r="AW20" s="44"/>
      <c r="AX20" s="100">
        <f>'Building Typology'!$AN20*'FS - Unitary Capital'!AX20</f>
        <v>0</v>
      </c>
      <c r="AY20" s="100">
        <f>'Building Typology'!$AR20*'FS - Unitary Capital'!AY20</f>
        <v>0</v>
      </c>
      <c r="AZ20" s="100">
        <f>'Building Typology'!$AX20*'FS - Unitary Capital'!AZ20</f>
        <v>0</v>
      </c>
      <c r="BA20" s="100">
        <f>'Building Typology'!$AY20*'FS - Unitary Capital'!BA20</f>
        <v>0</v>
      </c>
      <c r="BB20" s="100">
        <f>'Building Typology'!$AW20*'FS - Unitary Capital'!BB20</f>
        <v>1196935.54155</v>
      </c>
      <c r="BC20" s="100">
        <f>'FS - Unitary Capital'!BC20</f>
        <v>0</v>
      </c>
      <c r="BD20" s="100">
        <f>'FS - Unitary Capital'!BD20</f>
        <v>0</v>
      </c>
      <c r="BE20" s="100">
        <f t="shared" si="13"/>
        <v>1196935.54155</v>
      </c>
      <c r="BF20" s="269">
        <f>BE20*'Global Inputs'!$E$27</f>
        <v>1961178.8848296751</v>
      </c>
      <c r="BG20" s="44"/>
    </row>
    <row r="21" spans="1:59" x14ac:dyDescent="0.3">
      <c r="A21" s="46" t="str">
        <f>IF('Building Typology'!A21=0," ",'Building Typology'!A21)</f>
        <v>Post-2004 condo (window glazing alternate)</v>
      </c>
      <c r="B21" s="44"/>
      <c r="C21" s="100"/>
      <c r="D21" s="100"/>
      <c r="E21" s="100"/>
      <c r="F21" s="100"/>
      <c r="G21" s="100"/>
      <c r="H21" s="100"/>
      <c r="I21" s="100"/>
      <c r="J21" s="100"/>
      <c r="K21" s="269"/>
      <c r="L21" s="44"/>
      <c r="M21" s="107"/>
      <c r="N21" s="107"/>
      <c r="O21" s="100"/>
      <c r="P21" s="100"/>
      <c r="Q21" s="103"/>
      <c r="R21" s="103"/>
      <c r="S21" s="103"/>
      <c r="T21" s="269"/>
      <c r="U21" s="44"/>
      <c r="V21" s="107"/>
      <c r="W21" s="107"/>
      <c r="X21" s="100"/>
      <c r="Y21" s="100"/>
      <c r="Z21" s="100"/>
      <c r="AA21" s="100"/>
      <c r="AB21" s="100"/>
      <c r="AC21" s="269"/>
      <c r="AD21" s="44"/>
      <c r="AE21" s="107"/>
      <c r="AF21" s="107"/>
      <c r="AG21" s="107"/>
      <c r="AH21" s="107"/>
      <c r="AI21" s="100"/>
      <c r="AJ21" s="103"/>
      <c r="AK21" s="100"/>
      <c r="AL21" s="269"/>
      <c r="AM21" s="44"/>
      <c r="AN21" s="100"/>
      <c r="AO21" s="100"/>
      <c r="AP21" s="100"/>
      <c r="AQ21" s="100"/>
      <c r="AR21" s="100"/>
      <c r="AS21" s="100"/>
      <c r="AT21" s="100"/>
      <c r="AU21" s="100"/>
      <c r="AV21" s="269"/>
      <c r="AW21" s="44"/>
      <c r="AX21" s="100"/>
      <c r="AY21" s="100"/>
      <c r="AZ21" s="100"/>
      <c r="BA21" s="100"/>
      <c r="BB21" s="100"/>
      <c r="BC21" s="100"/>
      <c r="BD21" s="100"/>
      <c r="BE21" s="100"/>
      <c r="BF21" s="269"/>
      <c r="BG21" s="44"/>
    </row>
    <row r="22" spans="1:59" x14ac:dyDescent="0.3">
      <c r="A22" s="46" t="str">
        <f>IF('Building Typology'!A22=0," ",'Building Typology'!A22)</f>
        <v>Post-2004 condo</v>
      </c>
      <c r="B22" s="44"/>
      <c r="C22" s="103">
        <f>'Building Typology'!Y22*'FS - Unitary Capital'!C22</f>
        <v>428009.328534375</v>
      </c>
      <c r="D22" s="103">
        <f>'Building Typology'!AC22*'FS - Unitary Capital'!D22</f>
        <v>293444.56301295728</v>
      </c>
      <c r="E22" s="103">
        <f>'Building Typology'!$AX22*'FS - Unitary Capital'!E22</f>
        <v>0</v>
      </c>
      <c r="F22" s="103">
        <f>'Building Typology'!$AY22*'FS - Unitary Capital'!F22</f>
        <v>0</v>
      </c>
      <c r="G22" s="103">
        <f>'Building Typology'!AH22*'FS - Unitary Capital'!G22</f>
        <v>1152376.9655487805</v>
      </c>
      <c r="H22" s="103">
        <f>'FS - Unitary Capital'!H22</f>
        <v>0</v>
      </c>
      <c r="I22" s="103">
        <f>'FS - Unitary Capital'!I22</f>
        <v>0</v>
      </c>
      <c r="J22" s="100">
        <f>SUM(C22,D22,E22,F22,G22,H22,I22)</f>
        <v>1873830.8570961128</v>
      </c>
      <c r="K22" s="269">
        <f>J22*'Global Inputs'!$E$27</f>
        <v>3070271.859351981</v>
      </c>
      <c r="L22" s="44"/>
      <c r="M22" s="103">
        <f>'FS - Unitary Capital'!K22*'FS - Unitary Capital'!M22</f>
        <v>4962426.9974999996</v>
      </c>
      <c r="N22" s="103">
        <f>'FS - Unitary Capital'!L22*'FS - Unitary Capital'!N22</f>
        <v>1860396.8484798616</v>
      </c>
      <c r="O22" s="103">
        <f>'Building Typology'!AX22*'FS - Unitary Capital'!O22</f>
        <v>240000</v>
      </c>
      <c r="P22" s="103">
        <f>'Building Typology'!AY22*'FS - Unitary Capital'!P22</f>
        <v>0</v>
      </c>
      <c r="Q22" s="103">
        <f>'FS - Unitary Capital'!Q22</f>
        <v>0</v>
      </c>
      <c r="R22" s="103">
        <f>'FS - Unitary Capital'!R22</f>
        <v>1250000</v>
      </c>
      <c r="S22" s="100">
        <f>SUM(M22,N22,O22,P22,Q22,R22)</f>
        <v>8312823.845979861</v>
      </c>
      <c r="T22" s="269">
        <f>S22*'Global Inputs'!$E$27</f>
        <v>13620561.871638002</v>
      </c>
      <c r="U22" s="44"/>
      <c r="V22" s="100">
        <f>'FS - Unitary Capital'!V22*'FS - Unitary Capital'!X22</f>
        <v>2778959.1185999997</v>
      </c>
      <c r="W22" s="100">
        <f>'FS - Unitary Capital'!W22*'FS - Unitary Capital'!Y22</f>
        <v>930198.42423993081</v>
      </c>
      <c r="X22" s="100">
        <f>'Building Typology'!AX22*'FS - Unitary Capital'!Z22</f>
        <v>240000</v>
      </c>
      <c r="Y22" s="100">
        <f>'Building Typology'!AY22*'FS - Unitary Capital'!AA22</f>
        <v>0</v>
      </c>
      <c r="Z22" s="100">
        <f>'FS - Unitary Capital'!AB22</f>
        <v>0</v>
      </c>
      <c r="AA22" s="100">
        <f>'FS - Unitary Capital'!AC22</f>
        <v>1250000</v>
      </c>
      <c r="AB22" s="100">
        <f t="shared" si="2"/>
        <v>5199157.5428399304</v>
      </c>
      <c r="AC22" s="269">
        <f>AB22*'Global Inputs'!$E$27</f>
        <v>8518819.6339432262</v>
      </c>
      <c r="AD22" s="44"/>
      <c r="AE22" s="103">
        <f>'FS - Unitary Capital'!AG22*'FS - Unitary Capital'!AI22</f>
        <v>2849700</v>
      </c>
      <c r="AF22" s="103">
        <f>'FS - Unitary Capital'!AH22*'FS - Unitary Capital'!AJ22</f>
        <v>1860396.8484798616</v>
      </c>
      <c r="AG22" s="103">
        <f>'Building Typology'!AX22*'FS - Unitary Capital'!AK22</f>
        <v>96000</v>
      </c>
      <c r="AH22" s="103">
        <f>'Building Typology'!AY22*'FS - Unitary Capital'!AL22</f>
        <v>0</v>
      </c>
      <c r="AI22" s="100">
        <f>'FS - Unitary Capital'!AM22*'FS - Unitary Capital'!AG22</f>
        <v>2047001.13646875</v>
      </c>
      <c r="AJ22" s="103">
        <f>'FS - Unitary Capital'!AN22</f>
        <v>300000</v>
      </c>
      <c r="AK22" s="100">
        <f>SUM(AE22,AF22,AG22,AH22,AI22,AJ22)</f>
        <v>7153097.9849486109</v>
      </c>
      <c r="AL22" s="269">
        <f>AK22*'Global Inputs'!$E$27</f>
        <v>11720351.0483383</v>
      </c>
      <c r="AM22" s="44"/>
      <c r="AN22" s="100">
        <f>'Building Typology'!$AN22*'FS - Unitary Capital'!AP22</f>
        <v>217968.97500000001</v>
      </c>
      <c r="AO22" s="100">
        <f>'Building Typology'!$AR22*'FS - Unitary Capital'!AQ22</f>
        <v>74720.112804878037</v>
      </c>
      <c r="AP22" s="100">
        <f>'Building Typology'!AX22*'FS - Unitary Capital'!AR22</f>
        <v>0</v>
      </c>
      <c r="AQ22" s="100">
        <f>'Building Typology'!AY22*'FS - Unitary Capital'!AS22</f>
        <v>0</v>
      </c>
      <c r="AR22" s="100">
        <f>'Building Typology'!$AW22*'FS - Unitary Capital'!AT22</f>
        <v>1152376.9655487805</v>
      </c>
      <c r="AS22" s="100">
        <f>'FS - Unitary Capital'!AU22</f>
        <v>0</v>
      </c>
      <c r="AT22" s="100">
        <f>'FS - Unitary Capital'!AV22</f>
        <v>1500000</v>
      </c>
      <c r="AU22" s="100">
        <f>SUM(AN22,AO22,AP22,AQ22,AR22,AS22,AT22)</f>
        <v>2945066.0533536584</v>
      </c>
      <c r="AV22" s="269">
        <f>AU22*'Global Inputs'!$E$27</f>
        <v>4825490.7284199698</v>
      </c>
      <c r="AW22" s="44"/>
      <c r="AX22" s="100">
        <f>'Building Typology'!$AN22*'FS - Unitary Capital'!AX22</f>
        <v>428009.328534375</v>
      </c>
      <c r="AY22" s="100">
        <f>'Building Typology'!$AR22*'FS - Unitary Capital'!AY22</f>
        <v>146722.28150647864</v>
      </c>
      <c r="AZ22" s="100">
        <f>'Building Typology'!$AX22*'FS - Unitary Capital'!AZ22</f>
        <v>0</v>
      </c>
      <c r="BA22" s="100">
        <f>'Building Typology'!$AY22*'FS - Unitary Capital'!BA22</f>
        <v>0</v>
      </c>
      <c r="BB22" s="100">
        <f>'Building Typology'!$AW22*'FS - Unitary Capital'!BB22</f>
        <v>1152376.9655487805</v>
      </c>
      <c r="BC22" s="100">
        <f>'FS - Unitary Capital'!BC22</f>
        <v>0</v>
      </c>
      <c r="BD22" s="100">
        <f>'FS - Unitary Capital'!BD22</f>
        <v>0</v>
      </c>
      <c r="BE22" s="100">
        <f>SUM(AX22,AY22,AZ22,BA22,BB22,BC22,BD22)</f>
        <v>1727108.575589634</v>
      </c>
      <c r="BF22" s="269">
        <f>BE22*'Global Inputs'!$E$27</f>
        <v>2829867.4011036153</v>
      </c>
      <c r="BG22" s="44"/>
    </row>
    <row r="23" spans="1:59" x14ac:dyDescent="0.3">
      <c r="A23" s="44" t="str">
        <f>IF('Building Typology'!A23=0," ",'Building Typology'!A23)</f>
        <v xml:space="preserve"> </v>
      </c>
      <c r="B23" s="44"/>
      <c r="C23" s="108"/>
      <c r="D23" s="108"/>
      <c r="E23" s="108"/>
      <c r="F23" s="108"/>
      <c r="G23" s="108"/>
      <c r="H23" s="108"/>
      <c r="I23" s="108"/>
      <c r="J23" s="108"/>
      <c r="K23" s="270"/>
      <c r="L23" s="44"/>
      <c r="M23" s="110"/>
      <c r="N23" s="110"/>
      <c r="O23" s="108"/>
      <c r="P23" s="108"/>
      <c r="Q23" s="108"/>
      <c r="R23" s="108"/>
      <c r="S23" s="108"/>
      <c r="T23" s="270"/>
      <c r="U23" s="44"/>
      <c r="V23" s="110"/>
      <c r="W23" s="110"/>
      <c r="X23" s="108"/>
      <c r="Y23" s="108"/>
      <c r="Z23" s="108"/>
      <c r="AA23" s="108"/>
      <c r="AB23" s="108"/>
      <c r="AC23" s="270"/>
      <c r="AD23" s="44"/>
      <c r="AE23" s="110"/>
      <c r="AF23" s="110"/>
      <c r="AG23" s="110"/>
      <c r="AH23" s="110"/>
      <c r="AI23" s="108"/>
      <c r="AJ23" s="108"/>
      <c r="AK23" s="108"/>
      <c r="AL23" s="270"/>
      <c r="AM23" s="44"/>
      <c r="AN23" s="108"/>
      <c r="AO23" s="108"/>
      <c r="AP23" s="108"/>
      <c r="AQ23" s="108"/>
      <c r="AR23" s="108"/>
      <c r="AS23" s="108"/>
      <c r="AT23" s="108"/>
      <c r="AU23" s="108"/>
      <c r="AV23" s="270"/>
      <c r="AW23" s="44"/>
      <c r="AX23" s="108"/>
      <c r="AY23" s="108"/>
      <c r="AZ23" s="108"/>
      <c r="BA23" s="108"/>
      <c r="BB23" s="108"/>
      <c r="BC23" s="108"/>
      <c r="BD23" s="108"/>
      <c r="BE23" s="108"/>
      <c r="BF23" s="270"/>
      <c r="BG23" s="44"/>
    </row>
    <row r="24" spans="1:59" ht="16.5" x14ac:dyDescent="0.3">
      <c r="A24" s="98" t="str">
        <f>IF('Building Typology'!A24=0," ",'Building Typology'!A24)</f>
        <v>RESIDENTIAL</v>
      </c>
      <c r="B24" s="44"/>
      <c r="C24" s="100"/>
      <c r="D24" s="100"/>
      <c r="E24" s="100"/>
      <c r="F24" s="100"/>
      <c r="G24" s="100"/>
      <c r="H24" s="100"/>
      <c r="I24" s="100"/>
      <c r="J24" s="100"/>
      <c r="K24" s="269"/>
      <c r="L24" s="44"/>
      <c r="M24" s="107"/>
      <c r="N24" s="107"/>
      <c r="O24" s="100"/>
      <c r="P24" s="100"/>
      <c r="Q24" s="103"/>
      <c r="R24" s="103"/>
      <c r="S24" s="103"/>
      <c r="T24" s="269"/>
      <c r="U24" s="44"/>
      <c r="V24" s="107"/>
      <c r="W24" s="107"/>
      <c r="X24" s="100"/>
      <c r="Y24" s="100"/>
      <c r="Z24" s="100"/>
      <c r="AA24" s="100"/>
      <c r="AB24" s="100"/>
      <c r="AC24" s="269"/>
      <c r="AD24" s="44"/>
      <c r="AE24" s="107"/>
      <c r="AF24" s="107"/>
      <c r="AG24" s="107"/>
      <c r="AH24" s="107"/>
      <c r="AI24" s="100"/>
      <c r="AJ24" s="103"/>
      <c r="AK24" s="100"/>
      <c r="AL24" s="269"/>
      <c r="AM24" s="44"/>
      <c r="AN24" s="100"/>
      <c r="AO24" s="100"/>
      <c r="AP24" s="100"/>
      <c r="AQ24" s="100"/>
      <c r="AR24" s="100"/>
      <c r="AS24" s="100"/>
      <c r="AT24" s="100"/>
      <c r="AU24" s="100"/>
      <c r="AV24" s="269"/>
      <c r="AW24" s="44"/>
      <c r="AX24" s="100"/>
      <c r="AY24" s="100"/>
      <c r="AZ24" s="100"/>
      <c r="BA24" s="100"/>
      <c r="BB24" s="100"/>
      <c r="BC24" s="100"/>
      <c r="BD24" s="100"/>
      <c r="BE24" s="100"/>
      <c r="BF24" s="269"/>
      <c r="BG24" s="44"/>
    </row>
    <row r="25" spans="1:59" ht="31.5" x14ac:dyDescent="0.3">
      <c r="A25" s="46" t="str">
        <f>IF('Building Typology'!A25=0," ",'Building Typology'!A25)</f>
        <v>Typical house
(Pitched Roof)(Int. Wall Reno)</v>
      </c>
      <c r="B25" s="44"/>
      <c r="C25" s="100"/>
      <c r="D25" s="100"/>
      <c r="E25" s="100"/>
      <c r="F25" s="100"/>
      <c r="G25" s="100"/>
      <c r="H25" s="100"/>
      <c r="I25" s="100"/>
      <c r="J25" s="100"/>
      <c r="K25" s="269"/>
      <c r="L25" s="44"/>
      <c r="M25" s="107"/>
      <c r="N25" s="107"/>
      <c r="O25" s="100"/>
      <c r="P25" s="100"/>
      <c r="Q25" s="103"/>
      <c r="R25" s="103"/>
      <c r="S25" s="103"/>
      <c r="T25" s="269"/>
      <c r="U25" s="44"/>
      <c r="V25" s="107"/>
      <c r="W25" s="107"/>
      <c r="X25" s="100"/>
      <c r="Y25" s="100"/>
      <c r="Z25" s="100"/>
      <c r="AA25" s="100"/>
      <c r="AB25" s="100"/>
      <c r="AC25" s="269"/>
      <c r="AD25" s="44"/>
      <c r="AE25" s="107"/>
      <c r="AF25" s="107"/>
      <c r="AG25" s="107"/>
      <c r="AH25" s="107"/>
      <c r="AI25" s="100"/>
      <c r="AJ25" s="103"/>
      <c r="AK25" s="100"/>
      <c r="AL25" s="269"/>
      <c r="AM25" s="44"/>
      <c r="AN25" s="100"/>
      <c r="AO25" s="100"/>
      <c r="AP25" s="100"/>
      <c r="AQ25" s="100"/>
      <c r="AR25" s="100"/>
      <c r="AS25" s="100"/>
      <c r="AT25" s="100"/>
      <c r="AU25" s="100"/>
      <c r="AV25" s="269"/>
      <c r="AW25" s="44"/>
      <c r="AX25" s="100"/>
      <c r="AY25" s="100"/>
      <c r="AZ25" s="100"/>
      <c r="BA25" s="100"/>
      <c r="BB25" s="100"/>
      <c r="BC25" s="100"/>
      <c r="BD25" s="100"/>
      <c r="BE25" s="100"/>
      <c r="BF25" s="269"/>
      <c r="BG25" s="44"/>
    </row>
    <row r="26" spans="1:59" ht="31.5" x14ac:dyDescent="0.3">
      <c r="A26" s="46" t="str">
        <f>IF('Building Typology'!A26=0," ",'Building Typology'!A26)</f>
        <v>Typical house
(Flat Roof)(Ext. Wall Reno)</v>
      </c>
      <c r="B26" s="44"/>
      <c r="C26" s="103">
        <f>'Building Typology'!Y26*'FS - Unitary Capital'!C26</f>
        <v>21000</v>
      </c>
      <c r="D26" s="103">
        <f>'Building Typology'!AC26*'FS - Unitary Capital'!D26</f>
        <v>5000</v>
      </c>
      <c r="E26" s="103">
        <f>'Building Typology'!$AX26*'FS - Unitary Capital'!E26</f>
        <v>0</v>
      </c>
      <c r="F26" s="103">
        <f>'Building Typology'!$AY26*'FS - Unitary Capital'!F26</f>
        <v>0</v>
      </c>
      <c r="G26" s="103">
        <f>'Building Typology'!AH26*'FS - Unitary Capital'!G26</f>
        <v>9800</v>
      </c>
      <c r="H26" s="103">
        <f>'FS - Unitary Capital'!H26</f>
        <v>0</v>
      </c>
      <c r="I26" s="103">
        <f>'FS - Unitary Capital'!I26</f>
        <v>0</v>
      </c>
      <c r="J26" s="100">
        <f>SUM(C26,D26,E26,F26,G26,H26,I26)</f>
        <v>35800</v>
      </c>
      <c r="K26" s="269">
        <f>J26*'Global Inputs'!$E$27</f>
        <v>58658.3</v>
      </c>
      <c r="L26" s="44"/>
      <c r="M26" s="103">
        <f>'FS - Unitary Capital'!K26*'FS - Unitary Capital'!M26</f>
        <v>12000</v>
      </c>
      <c r="N26" s="103">
        <f>'FS - Unitary Capital'!L26*'FS - Unitary Capital'!N26</f>
        <v>10000</v>
      </c>
      <c r="O26" s="103">
        <f>'Building Typology'!AX26*'FS - Unitary Capital'!O26</f>
        <v>0</v>
      </c>
      <c r="P26" s="103">
        <f>'Building Typology'!AY26*'FS - Unitary Capital'!P26</f>
        <v>0</v>
      </c>
      <c r="Q26" s="103">
        <f>'FS - Unitary Capital'!Q26</f>
        <v>0</v>
      </c>
      <c r="R26" s="103">
        <f>'FS - Unitary Capital'!R26</f>
        <v>10000</v>
      </c>
      <c r="S26" s="100">
        <f t="shared" si="1"/>
        <v>32000</v>
      </c>
      <c r="T26" s="269">
        <f>S26*'Global Inputs'!$E$27</f>
        <v>52432</v>
      </c>
      <c r="U26" s="44"/>
      <c r="V26" s="100">
        <f>'FS - Unitary Capital'!V26*'FS - Unitary Capital'!X26</f>
        <v>12000</v>
      </c>
      <c r="W26" s="100">
        <f>'FS - Unitary Capital'!W26*'FS - Unitary Capital'!Y26</f>
        <v>10000</v>
      </c>
      <c r="X26" s="100">
        <f>'Building Typology'!AX26*'FS - Unitary Capital'!Z26</f>
        <v>0</v>
      </c>
      <c r="Y26" s="100">
        <f>'Building Typology'!AY26*'FS - Unitary Capital'!AA26</f>
        <v>0</v>
      </c>
      <c r="Z26" s="100">
        <f>'FS - Unitary Capital'!AB26</f>
        <v>0</v>
      </c>
      <c r="AA26" s="100">
        <f>'FS - Unitary Capital'!AC26</f>
        <v>10000</v>
      </c>
      <c r="AB26" s="100">
        <f t="shared" si="2"/>
        <v>32000</v>
      </c>
      <c r="AC26" s="269">
        <f>AB26*'Global Inputs'!$E$27</f>
        <v>52432</v>
      </c>
      <c r="AD26" s="44"/>
      <c r="AE26" s="103">
        <f>'FS - Unitary Capital'!AG26*'FS - Unitary Capital'!AI26</f>
        <v>6000</v>
      </c>
      <c r="AF26" s="103">
        <f>'FS - Unitary Capital'!AH26*'FS - Unitary Capital'!AJ26</f>
        <v>2500</v>
      </c>
      <c r="AG26" s="103">
        <f>'Building Typology'!AX26*'FS - Unitary Capital'!AK26</f>
        <v>0</v>
      </c>
      <c r="AH26" s="103">
        <f>'Building Typology'!AY26*'FS - Unitary Capital'!AL26</f>
        <v>0</v>
      </c>
      <c r="AI26" s="100">
        <f>'FS - Unitary Capital'!AM26*'FS - Unitary Capital'!AG26</f>
        <v>22744.457071874996</v>
      </c>
      <c r="AJ26" s="103">
        <f>'FS - Unitary Capital'!AN26</f>
        <v>10000</v>
      </c>
      <c r="AK26" s="100">
        <f>SUM(AE26,AF26,AG26,AH26,AI26,AJ26)</f>
        <v>41244.457071874996</v>
      </c>
      <c r="AL26" s="269">
        <f>AK26*'Global Inputs'!$E$27</f>
        <v>67579.042912267178</v>
      </c>
      <c r="AM26" s="44"/>
      <c r="AN26" s="100">
        <f>'Building Typology'!$AN26*'FS - Unitary Capital'!AP26</f>
        <v>4843.7550000000001</v>
      </c>
      <c r="AO26" s="100">
        <f>'Building Typology'!$AR26*'FS - Unitary Capital'!AQ26</f>
        <v>1200</v>
      </c>
      <c r="AP26" s="100">
        <f>'Building Typology'!AX26*'FS - Unitary Capital'!AR26</f>
        <v>0</v>
      </c>
      <c r="AQ26" s="100">
        <f>'Building Typology'!AY26*'FS - Unitary Capital'!AS26</f>
        <v>0</v>
      </c>
      <c r="AR26" s="100">
        <f>'Building Typology'!$AW26*'FS - Unitary Capital'!AT26</f>
        <v>9800</v>
      </c>
      <c r="AS26" s="100">
        <f>'FS - Unitary Capital'!AU26</f>
        <v>2400</v>
      </c>
      <c r="AT26" s="100">
        <f>'FS - Unitary Capital'!AV26</f>
        <v>25000</v>
      </c>
      <c r="AU26" s="100">
        <f>SUM(AN26,AO26,AP26,AQ26,AR26,AS26,AT26)</f>
        <v>43243.755000000005</v>
      </c>
      <c r="AV26" s="269">
        <f>AU26*'Global Inputs'!$E$27</f>
        <v>70854.892567500006</v>
      </c>
      <c r="AW26" s="44"/>
      <c r="AX26" s="100">
        <f>'Building Typology'!$AN26*'FS - Unitary Capital'!AX26</f>
        <v>21000</v>
      </c>
      <c r="AY26" s="100">
        <f>'Building Typology'!$AR26*'FS - Unitary Capital'!AY26</f>
        <v>2500</v>
      </c>
      <c r="AZ26" s="100">
        <f>'Building Typology'!$AX26*'FS - Unitary Capital'!AZ26</f>
        <v>0</v>
      </c>
      <c r="BA26" s="100">
        <f>'Building Typology'!$AY26*'FS - Unitary Capital'!BA26</f>
        <v>0</v>
      </c>
      <c r="BB26" s="100">
        <f>'Building Typology'!$AW26*'FS - Unitary Capital'!BB26</f>
        <v>9800</v>
      </c>
      <c r="BC26" s="100">
        <f>'FS - Unitary Capital'!BC26</f>
        <v>0</v>
      </c>
      <c r="BD26" s="100">
        <f>'FS - Unitary Capital'!BD26</f>
        <v>0</v>
      </c>
      <c r="BE26" s="100">
        <f>SUM(AX26,AY26,AZ26,BA26,BB26,BC26,BD26)</f>
        <v>33300</v>
      </c>
      <c r="BF26" s="269">
        <f>BE26*'Global Inputs'!$E$27</f>
        <v>54562.05</v>
      </c>
      <c r="BG26" s="44"/>
    </row>
    <row r="27" spans="1:59" x14ac:dyDescent="0.3">
      <c r="A27" s="44" t="str">
        <f>IF('Building Typology'!A27=0," ",'Building Typology'!A27)</f>
        <v xml:space="preserve"> </v>
      </c>
      <c r="B27" s="44"/>
      <c r="C27" s="108"/>
      <c r="D27" s="108"/>
      <c r="E27" s="108"/>
      <c r="F27" s="108"/>
      <c r="G27" s="108"/>
      <c r="H27" s="108"/>
      <c r="I27" s="108"/>
      <c r="J27" s="108"/>
      <c r="K27" s="270"/>
      <c r="L27" s="44"/>
      <c r="M27" s="110"/>
      <c r="N27" s="110"/>
      <c r="O27" s="108"/>
      <c r="P27" s="108"/>
      <c r="Q27" s="108"/>
      <c r="R27" s="108"/>
      <c r="S27" s="108"/>
      <c r="T27" s="270"/>
      <c r="U27" s="44"/>
      <c r="V27" s="110"/>
      <c r="W27" s="110"/>
      <c r="X27" s="108"/>
      <c r="Y27" s="108"/>
      <c r="Z27" s="108"/>
      <c r="AA27" s="108"/>
      <c r="AB27" s="108"/>
      <c r="AC27" s="270"/>
      <c r="AD27" s="44"/>
      <c r="AE27" s="110"/>
      <c r="AF27" s="110"/>
      <c r="AG27" s="110"/>
      <c r="AH27" s="110"/>
      <c r="AI27" s="108"/>
      <c r="AJ27" s="108"/>
      <c r="AK27" s="108"/>
      <c r="AL27" s="270"/>
      <c r="AM27" s="44"/>
      <c r="AN27" s="108"/>
      <c r="AO27" s="108"/>
      <c r="AP27" s="108"/>
      <c r="AQ27" s="108"/>
      <c r="AR27" s="108"/>
      <c r="AS27" s="108"/>
      <c r="AT27" s="108"/>
      <c r="AU27" s="108"/>
      <c r="AV27" s="270"/>
      <c r="AW27" s="44"/>
      <c r="AX27" s="108"/>
      <c r="AY27" s="108"/>
      <c r="AZ27" s="108"/>
      <c r="BA27" s="108"/>
      <c r="BB27" s="108"/>
      <c r="BC27" s="108"/>
      <c r="BD27" s="108"/>
      <c r="BE27" s="108"/>
      <c r="BF27" s="270"/>
      <c r="BG27" s="44"/>
    </row>
    <row r="28" spans="1:59" ht="16.5" x14ac:dyDescent="0.3">
      <c r="A28" s="98" t="str">
        <f>IF('Building Typology'!A28=0," ",'Building Typology'!A28)</f>
        <v>INSTITUTIONAL</v>
      </c>
      <c r="B28" s="44"/>
      <c r="C28" s="100"/>
      <c r="D28" s="100"/>
      <c r="E28" s="100"/>
      <c r="F28" s="100"/>
      <c r="G28" s="100"/>
      <c r="H28" s="100"/>
      <c r="I28" s="100"/>
      <c r="J28" s="100"/>
      <c r="K28" s="269"/>
      <c r="L28" s="44"/>
      <c r="M28" s="107"/>
      <c r="N28" s="107"/>
      <c r="O28" s="100"/>
      <c r="P28" s="100"/>
      <c r="Q28" s="103"/>
      <c r="R28" s="103"/>
      <c r="S28" s="103"/>
      <c r="T28" s="269"/>
      <c r="U28" s="44"/>
      <c r="V28" s="107"/>
      <c r="W28" s="107"/>
      <c r="X28" s="100"/>
      <c r="Y28" s="100"/>
      <c r="Z28" s="100"/>
      <c r="AA28" s="100"/>
      <c r="AB28" s="100"/>
      <c r="AC28" s="269"/>
      <c r="AD28" s="44"/>
      <c r="AE28" s="107"/>
      <c r="AF28" s="107"/>
      <c r="AG28" s="107"/>
      <c r="AH28" s="107"/>
      <c r="AI28" s="100"/>
      <c r="AJ28" s="103"/>
      <c r="AK28" s="100"/>
      <c r="AL28" s="269"/>
      <c r="AM28" s="44"/>
      <c r="AN28" s="100"/>
      <c r="AO28" s="100"/>
      <c r="AP28" s="100"/>
      <c r="AQ28" s="100"/>
      <c r="AR28" s="100"/>
      <c r="AS28" s="100"/>
      <c r="AT28" s="100"/>
      <c r="AU28" s="100"/>
      <c r="AV28" s="269"/>
      <c r="AW28" s="44"/>
      <c r="AX28" s="100"/>
      <c r="AY28" s="100"/>
      <c r="AZ28" s="100"/>
      <c r="BA28" s="100"/>
      <c r="BB28" s="100"/>
      <c r="BC28" s="100"/>
      <c r="BD28" s="100"/>
      <c r="BE28" s="100"/>
      <c r="BF28" s="269"/>
      <c r="BG28" s="44"/>
    </row>
    <row r="29" spans="1:59" x14ac:dyDescent="0.3">
      <c r="A29" s="46" t="str">
        <f>IF('Building Typology'!A29=0," ",'Building Typology'!A29)</f>
        <v>High water use hospital (inpatient)</v>
      </c>
      <c r="B29" s="44"/>
      <c r="C29" s="103">
        <f>'Building Typology'!Y29*'FS - Unitary Capital'!C29</f>
        <v>0</v>
      </c>
      <c r="D29" s="103">
        <f>'Building Typology'!AC29*'FS - Unitary Capital'!D29</f>
        <v>0</v>
      </c>
      <c r="E29" s="103">
        <f>'Building Typology'!$AX29*'FS - Unitary Capital'!E29</f>
        <v>0</v>
      </c>
      <c r="F29" s="103">
        <f>'Building Typology'!$AY29*'FS - Unitary Capital'!F29</f>
        <v>0</v>
      </c>
      <c r="G29" s="103">
        <f>'Building Typology'!AH29*'FS - Unitary Capital'!G29</f>
        <v>0</v>
      </c>
      <c r="H29" s="103">
        <f>'FS - Unitary Capital'!H29</f>
        <v>0</v>
      </c>
      <c r="I29" s="103">
        <f>'FS - Unitary Capital'!I29</f>
        <v>0</v>
      </c>
      <c r="J29" s="100">
        <f t="shared" ref="J29:J31" si="14">SUM(C29,D29,E29,F29,G29,H29,I29)</f>
        <v>0</v>
      </c>
      <c r="K29" s="269">
        <f>J29*'Global Inputs'!$E$27</f>
        <v>0</v>
      </c>
      <c r="L29" s="44"/>
      <c r="M29" s="103">
        <f>'FS - Unitary Capital'!K29*'FS - Unitary Capital'!M29</f>
        <v>39084675</v>
      </c>
      <c r="N29" s="103">
        <f>'FS - Unitary Capital'!L29*'FS - Unitary Capital'!N29</f>
        <v>9271790.6938788034</v>
      </c>
      <c r="O29" s="103">
        <f>'Building Typology'!AX29*'FS - Unitary Capital'!O29</f>
        <v>0</v>
      </c>
      <c r="P29" s="103">
        <f>'Building Typology'!AY29*'FS - Unitary Capital'!P29</f>
        <v>0</v>
      </c>
      <c r="Q29" s="103">
        <f>'FS - Unitary Capital'!Q29</f>
        <v>1200000</v>
      </c>
      <c r="R29" s="103">
        <f>'FS - Unitary Capital'!R29</f>
        <v>0</v>
      </c>
      <c r="S29" s="100">
        <f t="shared" si="1"/>
        <v>49556465.6938788</v>
      </c>
      <c r="T29" s="269">
        <f>S29*'Global Inputs'!$E$27</f>
        <v>81198269.039420411</v>
      </c>
      <c r="U29" s="44"/>
      <c r="V29" s="100">
        <f>'FS - Unitary Capital'!V29*'FS - Unitary Capital'!X29</f>
        <v>21887417.999999996</v>
      </c>
      <c r="W29" s="100">
        <f>'FS - Unitary Capital'!W29*'FS - Unitary Capital'!Y29</f>
        <v>4635895.3469394017</v>
      </c>
      <c r="X29" s="100">
        <f>'Building Typology'!AX29*'FS - Unitary Capital'!Z29</f>
        <v>0</v>
      </c>
      <c r="Y29" s="100">
        <f>'Building Typology'!AY29*'FS - Unitary Capital'!AA29</f>
        <v>0</v>
      </c>
      <c r="Z29" s="100">
        <f>'FS - Unitary Capital'!AB29</f>
        <v>1200000</v>
      </c>
      <c r="AA29" s="100">
        <f>'FS - Unitary Capital'!AC29</f>
        <v>0</v>
      </c>
      <c r="AB29" s="100">
        <f t="shared" si="2"/>
        <v>27723313.3469394</v>
      </c>
      <c r="AC29" s="269">
        <f>AB29*'Global Inputs'!$E$27</f>
        <v>45424648.918960206</v>
      </c>
      <c r="AD29" s="44"/>
      <c r="AE29" s="103">
        <f>'FS - Unitary Capital'!AG29*'FS - Unitary Capital'!AI29</f>
        <v>39084675</v>
      </c>
      <c r="AF29" s="103">
        <f>'FS - Unitary Capital'!AH29*'FS - Unitary Capital'!AJ29</f>
        <v>9271790.6938788034</v>
      </c>
      <c r="AG29" s="103">
        <f>'Building Typology'!AX29*'FS - Unitary Capital'!AK29</f>
        <v>0</v>
      </c>
      <c r="AH29" s="103">
        <f>'Building Typology'!AY29*'FS - Unitary Capital'!AL29</f>
        <v>0</v>
      </c>
      <c r="AI29" s="100">
        <f>'FS - Unitary Capital'!AM29*'FS - Unitary Capital'!AG29</f>
        <v>18425632.5</v>
      </c>
      <c r="AJ29" s="103">
        <f>'FS - Unitary Capital'!AN29</f>
        <v>84000</v>
      </c>
      <c r="AK29" s="100">
        <f t="shared" ref="AK29:AK31" si="15">SUM(AE29,AF29,AG29,AH29,AI29,AJ29)</f>
        <v>66866098.1938788</v>
      </c>
      <c r="AL29" s="269">
        <f>AK29*'Global Inputs'!$E$27</f>
        <v>109560101.89067042</v>
      </c>
      <c r="AM29" s="44"/>
      <c r="AN29" s="100">
        <f>'Building Typology'!$AN29*'FS - Unitary Capital'!AP29</f>
        <v>1962000</v>
      </c>
      <c r="AO29" s="100">
        <f>'Building Typology'!$AR29*'FS - Unitary Capital'!AQ29</f>
        <v>372387.88439999998</v>
      </c>
      <c r="AP29" s="100">
        <f>'Building Typology'!AX29*'FS - Unitary Capital'!AR29</f>
        <v>0</v>
      </c>
      <c r="AQ29" s="100">
        <f>'Building Typology'!AY29*'FS - Unitary Capital'!AS29</f>
        <v>0</v>
      </c>
      <c r="AR29" s="100">
        <f>'Building Typology'!$AW29*'FS - Unitary Capital'!AT29</f>
        <v>0</v>
      </c>
      <c r="AS29" s="100">
        <f>'FS - Unitary Capital'!AU29</f>
        <v>0</v>
      </c>
      <c r="AT29" s="100">
        <f>'FS - Unitary Capital'!AV29</f>
        <v>30000</v>
      </c>
      <c r="AU29" s="100">
        <f t="shared" ref="AU29:AU31" si="16">SUM(AN29,AO29,AP29,AQ29,AR29,AS29,AT29)</f>
        <v>2364387.8843999999</v>
      </c>
      <c r="AV29" s="269">
        <f>AU29*'Global Inputs'!$E$27</f>
        <v>3874049.5485894</v>
      </c>
      <c r="AW29" s="44"/>
      <c r="AX29" s="100">
        <f>'Building Typology'!$AN29*'FS - Unitary Capital'!AX29</f>
        <v>0</v>
      </c>
      <c r="AY29" s="100">
        <f>'Building Typology'!$AR29*'FS - Unitary Capital'!AY29</f>
        <v>0</v>
      </c>
      <c r="AZ29" s="100">
        <f>'Building Typology'!$AX29*'FS - Unitary Capital'!AZ29</f>
        <v>0</v>
      </c>
      <c r="BA29" s="100">
        <f>'Building Typology'!$AY29*'FS - Unitary Capital'!BA29</f>
        <v>0</v>
      </c>
      <c r="BB29" s="100">
        <f>'Building Typology'!$AW29*'FS - Unitary Capital'!BB29</f>
        <v>0</v>
      </c>
      <c r="BC29" s="100">
        <f>'FS - Unitary Capital'!BC29</f>
        <v>0</v>
      </c>
      <c r="BD29" s="100">
        <f>'FS - Unitary Capital'!BD29</f>
        <v>0</v>
      </c>
      <c r="BE29" s="100">
        <f t="shared" ref="BE29:BE31" si="17">SUM(AX29,AY29,AZ29,BA29,BB29,BC29,BD29)</f>
        <v>0</v>
      </c>
      <c r="BF29" s="269">
        <f>BE29*'Global Inputs'!$E$27</f>
        <v>0</v>
      </c>
      <c r="BG29" s="44"/>
    </row>
    <row r="30" spans="1:59" x14ac:dyDescent="0.3">
      <c r="A30" s="46" t="str">
        <f>IF('Building Typology'!A30=0," ",'Building Typology'!A30)</f>
        <v>Low water use hospital (outpatient)</v>
      </c>
      <c r="B30" s="44"/>
      <c r="C30" s="103">
        <f>'Building Typology'!Y30*'FS - Unitary Capital'!C30</f>
        <v>0</v>
      </c>
      <c r="D30" s="103">
        <f>'Building Typology'!AC30*'FS - Unitary Capital'!D30</f>
        <v>0</v>
      </c>
      <c r="E30" s="103">
        <f>'Building Typology'!$AX30*'FS - Unitary Capital'!E30</f>
        <v>0</v>
      </c>
      <c r="F30" s="103">
        <f>'Building Typology'!$AY30*'FS - Unitary Capital'!F30</f>
        <v>0</v>
      </c>
      <c r="G30" s="103">
        <f>'Building Typology'!AH30*'FS - Unitary Capital'!G30</f>
        <v>0</v>
      </c>
      <c r="H30" s="103">
        <f>'FS - Unitary Capital'!H30</f>
        <v>0</v>
      </c>
      <c r="I30" s="103">
        <f>'FS - Unitary Capital'!I30</f>
        <v>0</v>
      </c>
      <c r="J30" s="100">
        <f t="shared" si="14"/>
        <v>0</v>
      </c>
      <c r="K30" s="269">
        <f>J30*'Global Inputs'!$E$27</f>
        <v>0</v>
      </c>
      <c r="L30" s="44"/>
      <c r="M30" s="103">
        <f>'FS - Unitary Capital'!K30*'FS - Unitary Capital'!M30</f>
        <v>38248000</v>
      </c>
      <c r="N30" s="103">
        <f>'FS - Unitary Capital'!L30*'FS - Unitary Capital'!N30</f>
        <v>2508617.5627389834</v>
      </c>
      <c r="O30" s="103">
        <f>'Building Typology'!AX30*'FS - Unitary Capital'!O30</f>
        <v>0</v>
      </c>
      <c r="P30" s="103">
        <f>'Building Typology'!AY30*'FS - Unitary Capital'!P30</f>
        <v>0</v>
      </c>
      <c r="Q30" s="103">
        <f>'FS - Unitary Capital'!Q30</f>
        <v>1200000</v>
      </c>
      <c r="R30" s="103">
        <f>'FS - Unitary Capital'!R30</f>
        <v>0</v>
      </c>
      <c r="S30" s="100">
        <f t="shared" si="1"/>
        <v>41956617.562738985</v>
      </c>
      <c r="T30" s="269">
        <f>S30*'Global Inputs'!$E$27</f>
        <v>68745917.876547828</v>
      </c>
      <c r="U30" s="44"/>
      <c r="V30" s="100">
        <f>'FS - Unitary Capital'!V30*'FS - Unitary Capital'!X30</f>
        <v>21418879.999999996</v>
      </c>
      <c r="W30" s="100">
        <f>'FS - Unitary Capital'!W30*'FS - Unitary Capital'!Y30</f>
        <v>1254308.7813694917</v>
      </c>
      <c r="X30" s="100">
        <f>'Building Typology'!AX30*'FS - Unitary Capital'!Z30</f>
        <v>0</v>
      </c>
      <c r="Y30" s="100">
        <f>'Building Typology'!AY30*'FS - Unitary Capital'!AA30</f>
        <v>0</v>
      </c>
      <c r="Z30" s="100">
        <f>'FS - Unitary Capital'!AB30</f>
        <v>1200000</v>
      </c>
      <c r="AA30" s="100">
        <f>'FS - Unitary Capital'!AC30</f>
        <v>0</v>
      </c>
      <c r="AB30" s="100">
        <f t="shared" si="2"/>
        <v>23873188.781369489</v>
      </c>
      <c r="AC30" s="269">
        <f>AB30*'Global Inputs'!$E$27</f>
        <v>39116219.818273909</v>
      </c>
      <c r="AD30" s="44"/>
      <c r="AE30" s="103">
        <f>'FS - Unitary Capital'!AG30*'FS - Unitary Capital'!AI30</f>
        <v>38248000</v>
      </c>
      <c r="AF30" s="103">
        <f>'FS - Unitary Capital'!AH30*'FS - Unitary Capital'!AJ30</f>
        <v>2508617.5627389834</v>
      </c>
      <c r="AG30" s="103">
        <f>'Building Typology'!AX30*'FS - Unitary Capital'!AK30</f>
        <v>0</v>
      </c>
      <c r="AH30" s="103">
        <f>'Building Typology'!AY30*'FS - Unitary Capital'!AL30</f>
        <v>0</v>
      </c>
      <c r="AI30" s="100">
        <f>'FS - Unitary Capital'!AM30*'FS - Unitary Capital'!AG30</f>
        <v>18031200</v>
      </c>
      <c r="AJ30" s="103">
        <f>'FS - Unitary Capital'!AN30</f>
        <v>84000</v>
      </c>
      <c r="AK30" s="100">
        <f t="shared" si="15"/>
        <v>58871817.562738985</v>
      </c>
      <c r="AL30" s="269">
        <f>AK30*'Global Inputs'!$E$27</f>
        <v>96461473.076547831</v>
      </c>
      <c r="AM30" s="44"/>
      <c r="AN30" s="100">
        <f>'Building Typology'!$AN30*'FS - Unitary Capital'!AP30</f>
        <v>1920000</v>
      </c>
      <c r="AO30" s="100">
        <f>'Building Typology'!$AR30*'FS - Unitary Capital'!AQ30</f>
        <v>100754.947755</v>
      </c>
      <c r="AP30" s="100">
        <f>'Building Typology'!AX30*'FS - Unitary Capital'!AR30</f>
        <v>0</v>
      </c>
      <c r="AQ30" s="100">
        <f>'Building Typology'!AY30*'FS - Unitary Capital'!AS30</f>
        <v>0</v>
      </c>
      <c r="AR30" s="100">
        <f>'Building Typology'!$AW30*'FS - Unitary Capital'!AT30</f>
        <v>0</v>
      </c>
      <c r="AS30" s="100">
        <f>'FS - Unitary Capital'!AU30</f>
        <v>0</v>
      </c>
      <c r="AT30" s="100">
        <f>'FS - Unitary Capital'!AV30</f>
        <v>30000</v>
      </c>
      <c r="AU30" s="100">
        <f t="shared" si="16"/>
        <v>2050754.9477550001</v>
      </c>
      <c r="AV30" s="269">
        <f>AU30*'Global Inputs'!$E$27</f>
        <v>3360161.9818965676</v>
      </c>
      <c r="AW30" s="44"/>
      <c r="AX30" s="100">
        <f>'Building Typology'!$AN30*'FS - Unitary Capital'!AX30</f>
        <v>0</v>
      </c>
      <c r="AY30" s="100">
        <f>'Building Typology'!$AR30*'FS - Unitary Capital'!AY30</f>
        <v>0</v>
      </c>
      <c r="AZ30" s="100">
        <f>'Building Typology'!$AX30*'FS - Unitary Capital'!AZ30</f>
        <v>0</v>
      </c>
      <c r="BA30" s="100">
        <f>'Building Typology'!$AY30*'FS - Unitary Capital'!BA30</f>
        <v>0</v>
      </c>
      <c r="BB30" s="100">
        <f>'Building Typology'!$AW30*'FS - Unitary Capital'!BB30</f>
        <v>0</v>
      </c>
      <c r="BC30" s="100">
        <f>'FS - Unitary Capital'!BC30</f>
        <v>0</v>
      </c>
      <c r="BD30" s="100">
        <f>'FS - Unitary Capital'!BD30</f>
        <v>0</v>
      </c>
      <c r="BE30" s="100">
        <f t="shared" si="17"/>
        <v>0</v>
      </c>
      <c r="BF30" s="269">
        <f>BE30*'Global Inputs'!$E$27</f>
        <v>0</v>
      </c>
      <c r="BG30" s="44"/>
    </row>
    <row r="31" spans="1:59" x14ac:dyDescent="0.3">
      <c r="A31" s="46" t="str">
        <f>IF('Building Typology'!A31=0," ",'Building Typology'!A31)</f>
        <v>Assembly &amp; educational</v>
      </c>
      <c r="B31" s="44"/>
      <c r="C31" s="103">
        <f>'Building Typology'!Y31*'FS - Unitary Capital'!C31</f>
        <v>0</v>
      </c>
      <c r="D31" s="103">
        <f>'Building Typology'!AC31*'FS - Unitary Capital'!D31</f>
        <v>0</v>
      </c>
      <c r="E31" s="103">
        <f>'Building Typology'!$AX31*'FS - Unitary Capital'!E31</f>
        <v>0</v>
      </c>
      <c r="F31" s="103">
        <f>'Building Typology'!$AY31*'FS - Unitary Capital'!F31</f>
        <v>0</v>
      </c>
      <c r="G31" s="103">
        <f>'Building Typology'!AH31*'FS - Unitary Capital'!G31</f>
        <v>0</v>
      </c>
      <c r="H31" s="103">
        <f>'FS - Unitary Capital'!H31</f>
        <v>0</v>
      </c>
      <c r="I31" s="103">
        <f>'FS - Unitary Capital'!I31</f>
        <v>0</v>
      </c>
      <c r="J31" s="100">
        <f t="shared" si="14"/>
        <v>0</v>
      </c>
      <c r="K31" s="269">
        <f>J31*'Global Inputs'!$E$27</f>
        <v>0</v>
      </c>
      <c r="L31" s="44"/>
      <c r="M31" s="103">
        <f>'FS - Unitary Capital'!K31*'FS - Unitary Capital'!M31</f>
        <v>0</v>
      </c>
      <c r="N31" s="103">
        <f>'FS - Unitary Capital'!L31*'FS - Unitary Capital'!N31</f>
        <v>0</v>
      </c>
      <c r="O31" s="103">
        <f>'Building Typology'!AX31*'FS - Unitary Capital'!O31</f>
        <v>0</v>
      </c>
      <c r="P31" s="103">
        <f>'Building Typology'!AY31*'FS - Unitary Capital'!P31</f>
        <v>0</v>
      </c>
      <c r="Q31" s="103">
        <f>'FS - Unitary Capital'!Q31</f>
        <v>0</v>
      </c>
      <c r="R31" s="103">
        <f>'FS - Unitary Capital'!R31</f>
        <v>0</v>
      </c>
      <c r="S31" s="100">
        <f t="shared" si="1"/>
        <v>0</v>
      </c>
      <c r="T31" s="269">
        <f>S31*'Global Inputs'!$E$27</f>
        <v>0</v>
      </c>
      <c r="U31" s="44"/>
      <c r="V31" s="100">
        <f>'FS - Unitary Capital'!V31*'FS - Unitary Capital'!X31</f>
        <v>0</v>
      </c>
      <c r="W31" s="100">
        <f>'FS - Unitary Capital'!W31*'FS - Unitary Capital'!Y31</f>
        <v>0</v>
      </c>
      <c r="X31" s="100">
        <f>'Building Typology'!AX31*'FS - Unitary Capital'!Z31</f>
        <v>0</v>
      </c>
      <c r="Y31" s="100">
        <f>'Building Typology'!AY31*'FS - Unitary Capital'!AA31</f>
        <v>0</v>
      </c>
      <c r="Z31" s="100">
        <f>'FS - Unitary Capital'!AB31</f>
        <v>0</v>
      </c>
      <c r="AA31" s="100">
        <f>'FS - Unitary Capital'!AC31</f>
        <v>0</v>
      </c>
      <c r="AB31" s="100">
        <f t="shared" si="2"/>
        <v>0</v>
      </c>
      <c r="AC31" s="269">
        <f>AB31*'Global Inputs'!$E$27</f>
        <v>0</v>
      </c>
      <c r="AD31" s="44"/>
      <c r="AE31" s="103">
        <f>'FS - Unitary Capital'!AG31*'FS - Unitary Capital'!AI31</f>
        <v>0</v>
      </c>
      <c r="AF31" s="103">
        <f>'FS - Unitary Capital'!AH31*'FS - Unitary Capital'!AJ31</f>
        <v>0</v>
      </c>
      <c r="AG31" s="103">
        <f>'Building Typology'!AX31*'FS - Unitary Capital'!AK31</f>
        <v>0</v>
      </c>
      <c r="AH31" s="103">
        <f>'Building Typology'!AY31*'FS - Unitary Capital'!AL31</f>
        <v>0</v>
      </c>
      <c r="AI31" s="100">
        <f>'FS - Unitary Capital'!AM31*'FS - Unitary Capital'!AG31</f>
        <v>0</v>
      </c>
      <c r="AJ31" s="103">
        <f>'FS - Unitary Capital'!AN31</f>
        <v>0</v>
      </c>
      <c r="AK31" s="100">
        <f t="shared" si="15"/>
        <v>0</v>
      </c>
      <c r="AL31" s="269">
        <f>AK31*'Global Inputs'!$E$27</f>
        <v>0</v>
      </c>
      <c r="AM31" s="44"/>
      <c r="AN31" s="100">
        <f>'Building Typology'!$AN31*'FS - Unitary Capital'!AP31</f>
        <v>0</v>
      </c>
      <c r="AO31" s="100">
        <f>'Building Typology'!$AR31*'FS - Unitary Capital'!AQ31</f>
        <v>0</v>
      </c>
      <c r="AP31" s="100">
        <f>'Building Typology'!AX31*'FS - Unitary Capital'!AR31</f>
        <v>0</v>
      </c>
      <c r="AQ31" s="100">
        <f>'Building Typology'!AY31*'FS - Unitary Capital'!AS31</f>
        <v>0</v>
      </c>
      <c r="AR31" s="100">
        <f>'Building Typology'!$AW31*'FS - Unitary Capital'!AT31</f>
        <v>0</v>
      </c>
      <c r="AS31" s="100">
        <f>'FS - Unitary Capital'!AU31</f>
        <v>0</v>
      </c>
      <c r="AT31" s="100">
        <f>'FS - Unitary Capital'!AV31</f>
        <v>0</v>
      </c>
      <c r="AU31" s="100">
        <f t="shared" si="16"/>
        <v>0</v>
      </c>
      <c r="AV31" s="269">
        <f>AU31*'Global Inputs'!$E$27</f>
        <v>0</v>
      </c>
      <c r="AW31" s="44"/>
      <c r="AX31" s="100">
        <f>'Building Typology'!$AN31*'FS - Unitary Capital'!AX31</f>
        <v>0</v>
      </c>
      <c r="AY31" s="100">
        <f>'Building Typology'!$AR31*'FS - Unitary Capital'!AY31</f>
        <v>0</v>
      </c>
      <c r="AZ31" s="100">
        <f>'Building Typology'!$AX31*'FS - Unitary Capital'!AZ31</f>
        <v>0</v>
      </c>
      <c r="BA31" s="100">
        <f>'Building Typology'!$AY31*'FS - Unitary Capital'!BA31</f>
        <v>0</v>
      </c>
      <c r="BB31" s="100">
        <f>'Building Typology'!$AW31*'FS - Unitary Capital'!BB31</f>
        <v>0</v>
      </c>
      <c r="BC31" s="100">
        <f>'FS - Unitary Capital'!BC31</f>
        <v>0</v>
      </c>
      <c r="BD31" s="100">
        <f>'FS - Unitary Capital'!BD31</f>
        <v>0</v>
      </c>
      <c r="BE31" s="100">
        <f t="shared" si="17"/>
        <v>0</v>
      </c>
      <c r="BF31" s="269">
        <f>BE31*'Global Inputs'!$E$27</f>
        <v>0</v>
      </c>
      <c r="BG31" s="44"/>
    </row>
    <row r="32" spans="1:59" x14ac:dyDescent="0.3">
      <c r="A32" s="44" t="str">
        <f>IF('Building Typology'!A32=0," ",'Building Typology'!A32)</f>
        <v xml:space="preserve"> </v>
      </c>
      <c r="B32" s="44"/>
      <c r="C32" s="108"/>
      <c r="D32" s="108"/>
      <c r="E32" s="108"/>
      <c r="F32" s="108"/>
      <c r="G32" s="108"/>
      <c r="H32" s="108"/>
      <c r="I32" s="108"/>
      <c r="J32" s="108"/>
      <c r="K32" s="270"/>
      <c r="L32" s="44"/>
      <c r="M32" s="110"/>
      <c r="N32" s="110"/>
      <c r="O32" s="108"/>
      <c r="P32" s="108"/>
      <c r="Q32" s="108"/>
      <c r="R32" s="108"/>
      <c r="S32" s="108"/>
      <c r="T32" s="270"/>
      <c r="U32" s="44"/>
      <c r="V32" s="110"/>
      <c r="W32" s="110"/>
      <c r="X32" s="108"/>
      <c r="Y32" s="108"/>
      <c r="Z32" s="108"/>
      <c r="AA32" s="108"/>
      <c r="AB32" s="108"/>
      <c r="AC32" s="270"/>
      <c r="AD32" s="44"/>
      <c r="AE32" s="108"/>
      <c r="AF32" s="108"/>
      <c r="AG32" s="108"/>
      <c r="AH32" s="108"/>
      <c r="AI32" s="108"/>
      <c r="AJ32" s="108"/>
      <c r="AK32" s="108"/>
      <c r="AL32" s="270"/>
      <c r="AM32" s="44"/>
      <c r="AN32" s="108"/>
      <c r="AO32" s="108"/>
      <c r="AP32" s="108"/>
      <c r="AQ32" s="108"/>
      <c r="AR32" s="108"/>
      <c r="AS32" s="108"/>
      <c r="AT32" s="108"/>
      <c r="AU32" s="108"/>
      <c r="AV32" s="270"/>
      <c r="AW32" s="44"/>
      <c r="AX32" s="108"/>
      <c r="AY32" s="108"/>
      <c r="AZ32" s="108"/>
      <c r="BA32" s="108"/>
      <c r="BB32" s="108"/>
      <c r="BC32" s="108"/>
      <c r="BD32" s="108"/>
      <c r="BE32" s="108"/>
      <c r="BF32" s="270"/>
      <c r="BG32" s="44"/>
    </row>
  </sheetData>
  <mergeCells count="1">
    <mergeCell ref="A1:A2"/>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C5D89-FB28-4ECE-8208-07E19AA6C479}">
  <sheetPr>
    <tabColor theme="7" tint="0.59999389629810485"/>
  </sheetPr>
  <dimension ref="A1:BZ34"/>
  <sheetViews>
    <sheetView showGridLines="0" zoomScale="70" zoomScaleNormal="70" workbookViewId="0">
      <pane xSplit="2" ySplit="3" topLeftCell="C4" activePane="bottomRight" state="frozen"/>
      <selection pane="topRight" activeCell="C1" sqref="C1"/>
      <selection pane="bottomLeft" activeCell="A4" sqref="A4"/>
      <selection pane="bottomRight" activeCell="AF43" sqref="AF43"/>
    </sheetView>
    <sheetView workbookViewId="1">
      <selection sqref="A1:A2"/>
    </sheetView>
  </sheetViews>
  <sheetFormatPr defaultColWidth="8.77734375" defaultRowHeight="15.75" outlineLevelCol="2" x14ac:dyDescent="0.3"/>
  <cols>
    <col min="1" max="1" width="35.6640625" style="10" customWidth="1"/>
    <col min="2" max="2" width="2.6640625" style="10" customWidth="1"/>
    <col min="3" max="4" width="10.6640625" style="10" customWidth="1"/>
    <col min="5" max="6" width="7.88671875" style="10" customWidth="1"/>
    <col min="7" max="7" width="12.88671875" style="10" customWidth="1"/>
    <col min="8" max="8" width="11.33203125" style="10" customWidth="1"/>
    <col min="9" max="10" width="7.88671875" style="10" customWidth="1"/>
    <col min="11" max="12" width="14" style="10" customWidth="1"/>
    <col min="13" max="13" width="1.44140625" style="10" customWidth="1"/>
    <col min="14" max="15" width="7.88671875" style="10" customWidth="1" outlineLevel="1"/>
    <col min="16" max="19" width="7.88671875" style="10" customWidth="1" outlineLevel="2"/>
    <col min="20" max="20" width="11.109375" style="10" customWidth="1" outlineLevel="2"/>
    <col min="21" max="21" width="7.88671875" style="10" customWidth="1" outlineLevel="2"/>
    <col min="22" max="22" width="1.44140625" style="10" customWidth="1"/>
    <col min="23" max="24" width="7.88671875" style="10" customWidth="1" outlineLevel="1"/>
    <col min="25" max="28" width="7.88671875" style="10" customWidth="1" outlineLevel="2"/>
    <col min="29" max="29" width="11.109375" style="10" customWidth="1" outlineLevel="2"/>
    <col min="30" max="30" width="7.88671875" style="10" customWidth="1" outlineLevel="2"/>
    <col min="31" max="31" width="1.44140625" style="10" customWidth="1"/>
    <col min="32" max="33" width="7.88671875" style="10" customWidth="1" outlineLevel="1"/>
    <col min="34" max="37" width="7.88671875" style="10" customWidth="1" outlineLevel="2"/>
    <col min="38" max="38" width="11.109375" style="10" customWidth="1" outlineLevel="2"/>
    <col min="39" max="39" width="7.88671875" style="10" customWidth="1" outlineLevel="2"/>
    <col min="40" max="40" width="1.44140625" style="10" customWidth="1"/>
    <col min="41" max="42" width="7.88671875" style="10" customWidth="1" outlineLevel="1"/>
    <col min="43" max="46" width="7.88671875" style="10" customWidth="1" outlineLevel="2"/>
    <col min="47" max="47" width="11.109375" style="10" customWidth="1" outlineLevel="2"/>
    <col min="48" max="48" width="7.88671875" style="10" customWidth="1" outlineLevel="2"/>
    <col min="49" max="49" width="1.44140625" style="10" customWidth="1"/>
    <col min="50" max="51" width="7.88671875" style="10" customWidth="1" outlineLevel="1"/>
    <col min="52" max="55" width="7.88671875" style="10" customWidth="1" outlineLevel="2"/>
    <col min="56" max="56" width="11.109375" style="10" customWidth="1" outlineLevel="2"/>
    <col min="57" max="57" width="7.88671875" style="10" customWidth="1" outlineLevel="2"/>
    <col min="58" max="58" width="1.44140625" style="10" customWidth="1"/>
    <col min="59" max="59" width="9.109375" style="10" customWidth="1" outlineLevel="1"/>
    <col min="60" max="60" width="7.88671875" style="10" customWidth="1" outlineLevel="1"/>
    <col min="61" max="64" width="7.88671875" style="10" customWidth="1" outlineLevel="2"/>
    <col min="65" max="65" width="11.109375" style="10" customWidth="1" outlineLevel="2"/>
    <col min="66" max="66" width="7.88671875" style="10" customWidth="1" outlineLevel="2"/>
    <col min="67" max="67" width="1.44140625" style="10" customWidth="1"/>
    <col min="68" max="68" width="19.77734375" style="10" customWidth="1"/>
    <col min="69" max="69" width="1.44140625" style="10" customWidth="1"/>
    <col min="70" max="70" width="19.77734375" style="10" customWidth="1"/>
    <col min="71" max="71" width="1.44140625" style="10" customWidth="1"/>
    <col min="72" max="72" width="19.77734375" style="10" customWidth="1"/>
    <col min="73" max="73" width="1.44140625" style="10" customWidth="1"/>
    <col min="74" max="75" width="19.77734375" style="10" customWidth="1"/>
    <col min="76" max="76" width="1.44140625" style="10" customWidth="1"/>
    <col min="77" max="77" width="19.77734375" style="10" customWidth="1"/>
    <col min="78" max="78" width="1.44140625" style="10" customWidth="1"/>
    <col min="79" max="79" width="8.77734375" style="10" bestFit="1"/>
    <col min="80" max="16384" width="8.77734375" style="10"/>
  </cols>
  <sheetData>
    <row r="1" spans="1:78" ht="72" x14ac:dyDescent="0.3">
      <c r="A1" s="316" t="s">
        <v>39</v>
      </c>
      <c r="B1" s="9"/>
      <c r="C1" s="252" t="s">
        <v>415</v>
      </c>
      <c r="D1" s="12"/>
      <c r="F1" s="12"/>
      <c r="G1" s="12"/>
      <c r="H1" s="12"/>
      <c r="I1" s="252"/>
      <c r="J1" s="12"/>
      <c r="K1" s="12"/>
      <c r="L1" s="12"/>
      <c r="M1" s="9"/>
      <c r="N1" s="266" t="s">
        <v>311</v>
      </c>
      <c r="O1" s="266"/>
      <c r="P1" s="12"/>
      <c r="Q1" s="12"/>
      <c r="R1" s="12"/>
      <c r="S1" s="12"/>
      <c r="T1" s="12"/>
      <c r="U1" s="255"/>
      <c r="V1" s="9"/>
      <c r="W1" s="252" t="s">
        <v>77</v>
      </c>
      <c r="X1" s="12"/>
      <c r="Y1" s="12"/>
      <c r="Z1" s="12"/>
      <c r="AA1" s="12"/>
      <c r="AB1" s="12"/>
      <c r="AC1" s="12"/>
      <c r="AD1" s="255"/>
      <c r="AE1" s="9"/>
      <c r="AF1" s="252" t="s">
        <v>78</v>
      </c>
      <c r="AG1" s="12"/>
      <c r="AH1" s="12"/>
      <c r="AI1" s="12"/>
      <c r="AJ1" s="12"/>
      <c r="AK1" s="12"/>
      <c r="AL1" s="12"/>
      <c r="AM1" s="255"/>
      <c r="AN1" s="9"/>
      <c r="AO1" s="252" t="s">
        <v>79</v>
      </c>
      <c r="AP1" s="12"/>
      <c r="AQ1" s="12"/>
      <c r="AR1" s="12"/>
      <c r="AS1" s="12"/>
      <c r="AT1" s="12"/>
      <c r="AU1" s="12"/>
      <c r="AV1" s="255"/>
      <c r="AW1" s="9"/>
      <c r="AX1" s="252" t="s">
        <v>76</v>
      </c>
      <c r="AY1" s="12"/>
      <c r="AZ1" s="12"/>
      <c r="BA1" s="12"/>
      <c r="BB1" s="12"/>
      <c r="BC1" s="12"/>
      <c r="BD1" s="12"/>
      <c r="BE1" s="255"/>
      <c r="BF1" s="9"/>
      <c r="BG1" s="266" t="s">
        <v>75</v>
      </c>
      <c r="BH1" s="255"/>
      <c r="BI1" s="12"/>
      <c r="BJ1" s="12"/>
      <c r="BK1" s="12"/>
      <c r="BL1" s="12"/>
      <c r="BM1" s="12"/>
      <c r="BN1" s="255"/>
      <c r="BO1" s="9"/>
      <c r="BP1" s="12" t="s">
        <v>311</v>
      </c>
      <c r="BQ1" s="9"/>
      <c r="BR1" s="12" t="s">
        <v>77</v>
      </c>
      <c r="BS1" s="9"/>
      <c r="BT1" s="12" t="s">
        <v>78</v>
      </c>
      <c r="BU1" s="9"/>
      <c r="BV1" s="12" t="s">
        <v>79</v>
      </c>
      <c r="BW1" s="12" t="s">
        <v>76</v>
      </c>
      <c r="BX1" s="9"/>
      <c r="BY1" s="12" t="s">
        <v>75</v>
      </c>
      <c r="BZ1" s="9"/>
    </row>
    <row r="2" spans="1:78" s="8" customFormat="1" ht="28.9" customHeight="1" x14ac:dyDescent="0.3">
      <c r="A2" s="316"/>
      <c r="B2" s="9"/>
      <c r="C2" s="321" t="s">
        <v>392</v>
      </c>
      <c r="D2" s="322"/>
      <c r="E2" s="321" t="s">
        <v>436</v>
      </c>
      <c r="F2" s="322"/>
      <c r="G2" s="321" t="s">
        <v>433</v>
      </c>
      <c r="H2" s="322"/>
      <c r="I2" s="321" t="s">
        <v>437</v>
      </c>
      <c r="J2" s="322"/>
      <c r="K2" s="321" t="s">
        <v>440</v>
      </c>
      <c r="L2" s="322"/>
      <c r="M2" s="213"/>
      <c r="N2" s="321" t="s">
        <v>432</v>
      </c>
      <c r="O2" s="322"/>
      <c r="P2" s="321" t="s">
        <v>394</v>
      </c>
      <c r="Q2" s="322"/>
      <c r="R2" s="321" t="s">
        <v>420</v>
      </c>
      <c r="S2" s="323"/>
      <c r="T2" s="323"/>
      <c r="U2" s="322"/>
      <c r="V2" s="213"/>
      <c r="W2" s="321" t="s">
        <v>432</v>
      </c>
      <c r="X2" s="322"/>
      <c r="Y2" s="321" t="s">
        <v>394</v>
      </c>
      <c r="Z2" s="322"/>
      <c r="AA2" s="321" t="s">
        <v>420</v>
      </c>
      <c r="AB2" s="323"/>
      <c r="AC2" s="323"/>
      <c r="AD2" s="322"/>
      <c r="AE2" s="213"/>
      <c r="AF2" s="321" t="s">
        <v>432</v>
      </c>
      <c r="AG2" s="322"/>
      <c r="AH2" s="321" t="s">
        <v>394</v>
      </c>
      <c r="AI2" s="322"/>
      <c r="AJ2" s="321" t="s">
        <v>420</v>
      </c>
      <c r="AK2" s="323"/>
      <c r="AL2" s="323"/>
      <c r="AM2" s="322"/>
      <c r="AN2" s="213"/>
      <c r="AO2" s="321" t="s">
        <v>432</v>
      </c>
      <c r="AP2" s="322"/>
      <c r="AQ2" s="321" t="s">
        <v>394</v>
      </c>
      <c r="AR2" s="322"/>
      <c r="AS2" s="321" t="s">
        <v>420</v>
      </c>
      <c r="AT2" s="323"/>
      <c r="AU2" s="323"/>
      <c r="AV2" s="322"/>
      <c r="AW2" s="213"/>
      <c r="AX2" s="321" t="s">
        <v>432</v>
      </c>
      <c r="AY2" s="322"/>
      <c r="AZ2" s="321" t="s">
        <v>394</v>
      </c>
      <c r="BA2" s="322"/>
      <c r="BB2" s="321" t="s">
        <v>420</v>
      </c>
      <c r="BC2" s="323"/>
      <c r="BD2" s="323"/>
      <c r="BE2" s="322"/>
      <c r="BF2" s="213"/>
      <c r="BG2" s="321" t="s">
        <v>432</v>
      </c>
      <c r="BH2" s="322"/>
      <c r="BI2" s="321" t="s">
        <v>394</v>
      </c>
      <c r="BJ2" s="322"/>
      <c r="BK2" s="321" t="s">
        <v>420</v>
      </c>
      <c r="BL2" s="323"/>
      <c r="BM2" s="323"/>
      <c r="BN2" s="322"/>
      <c r="BO2" s="213"/>
      <c r="BP2" s="214" t="s">
        <v>185</v>
      </c>
      <c r="BQ2" s="213"/>
      <c r="BR2" s="214" t="s">
        <v>185</v>
      </c>
      <c r="BS2" s="213"/>
      <c r="BT2" s="214" t="s">
        <v>185</v>
      </c>
      <c r="BU2" s="213"/>
      <c r="BV2" s="214" t="s">
        <v>185</v>
      </c>
      <c r="BW2" s="214" t="s">
        <v>185</v>
      </c>
      <c r="BX2" s="213"/>
      <c r="BY2" s="214" t="s">
        <v>185</v>
      </c>
      <c r="BZ2" s="213"/>
    </row>
    <row r="3" spans="1:78" s="8" customFormat="1" ht="33.75" x14ac:dyDescent="0.3">
      <c r="A3" s="20" t="s">
        <v>15</v>
      </c>
      <c r="B3" s="20"/>
      <c r="C3" s="215" t="s">
        <v>438</v>
      </c>
      <c r="D3" s="215" t="s">
        <v>439</v>
      </c>
      <c r="E3" s="215" t="s">
        <v>431</v>
      </c>
      <c r="F3" s="215" t="s">
        <v>430</v>
      </c>
      <c r="G3" s="215" t="s">
        <v>434</v>
      </c>
      <c r="H3" s="215" t="s">
        <v>435</v>
      </c>
      <c r="I3" s="215" t="s">
        <v>431</v>
      </c>
      <c r="J3" s="215" t="s">
        <v>430</v>
      </c>
      <c r="K3" s="215" t="s">
        <v>441</v>
      </c>
      <c r="L3" s="215" t="s">
        <v>442</v>
      </c>
      <c r="M3" s="213"/>
      <c r="N3" s="215" t="s">
        <v>431</v>
      </c>
      <c r="O3" s="215" t="s">
        <v>430</v>
      </c>
      <c r="P3" s="215" t="s">
        <v>428</v>
      </c>
      <c r="Q3" s="215" t="s">
        <v>429</v>
      </c>
      <c r="R3" s="215" t="s">
        <v>421</v>
      </c>
      <c r="S3" s="215" t="s">
        <v>425</v>
      </c>
      <c r="T3" s="215" t="s">
        <v>427</v>
      </c>
      <c r="U3" s="215" t="s">
        <v>423</v>
      </c>
      <c r="V3" s="213"/>
      <c r="W3" s="215" t="s">
        <v>431</v>
      </c>
      <c r="X3" s="215" t="s">
        <v>430</v>
      </c>
      <c r="Y3" s="215" t="s">
        <v>428</v>
      </c>
      <c r="Z3" s="215" t="s">
        <v>429</v>
      </c>
      <c r="AA3" s="215" t="s">
        <v>421</v>
      </c>
      <c r="AB3" s="215" t="s">
        <v>425</v>
      </c>
      <c r="AC3" s="215" t="s">
        <v>427</v>
      </c>
      <c r="AD3" s="215" t="s">
        <v>423</v>
      </c>
      <c r="AE3" s="213"/>
      <c r="AF3" s="215" t="s">
        <v>431</v>
      </c>
      <c r="AG3" s="215" t="s">
        <v>430</v>
      </c>
      <c r="AH3" s="215" t="s">
        <v>428</v>
      </c>
      <c r="AI3" s="215" t="s">
        <v>429</v>
      </c>
      <c r="AJ3" s="215" t="s">
        <v>421</v>
      </c>
      <c r="AK3" s="215" t="s">
        <v>425</v>
      </c>
      <c r="AL3" s="215" t="s">
        <v>427</v>
      </c>
      <c r="AM3" s="215" t="s">
        <v>423</v>
      </c>
      <c r="AN3" s="213"/>
      <c r="AO3" s="215" t="s">
        <v>431</v>
      </c>
      <c r="AP3" s="215" t="s">
        <v>430</v>
      </c>
      <c r="AQ3" s="215" t="s">
        <v>428</v>
      </c>
      <c r="AR3" s="215" t="s">
        <v>429</v>
      </c>
      <c r="AS3" s="215" t="s">
        <v>421</v>
      </c>
      <c r="AT3" s="215" t="s">
        <v>425</v>
      </c>
      <c r="AU3" s="215" t="s">
        <v>427</v>
      </c>
      <c r="AV3" s="215" t="s">
        <v>423</v>
      </c>
      <c r="AW3" s="213"/>
      <c r="AX3" s="215" t="s">
        <v>431</v>
      </c>
      <c r="AY3" s="215" t="s">
        <v>430</v>
      </c>
      <c r="AZ3" s="215" t="s">
        <v>428</v>
      </c>
      <c r="BA3" s="215" t="s">
        <v>429</v>
      </c>
      <c r="BB3" s="215" t="s">
        <v>421</v>
      </c>
      <c r="BC3" s="215" t="s">
        <v>425</v>
      </c>
      <c r="BD3" s="215" t="s">
        <v>427</v>
      </c>
      <c r="BE3" s="215" t="s">
        <v>423</v>
      </c>
      <c r="BF3" s="213"/>
      <c r="BG3" s="215" t="s">
        <v>431</v>
      </c>
      <c r="BH3" s="215" t="s">
        <v>430</v>
      </c>
      <c r="BI3" s="215" t="s">
        <v>428</v>
      </c>
      <c r="BJ3" s="215" t="s">
        <v>429</v>
      </c>
      <c r="BK3" s="215" t="s">
        <v>421</v>
      </c>
      <c r="BL3" s="215" t="s">
        <v>425</v>
      </c>
      <c r="BM3" s="215" t="s">
        <v>427</v>
      </c>
      <c r="BN3" s="215" t="s">
        <v>423</v>
      </c>
      <c r="BO3" s="213"/>
      <c r="BP3" s="215" t="s">
        <v>186</v>
      </c>
      <c r="BQ3" s="213"/>
      <c r="BR3" s="215" t="s">
        <v>186</v>
      </c>
      <c r="BS3" s="213"/>
      <c r="BT3" s="215" t="s">
        <v>186</v>
      </c>
      <c r="BU3" s="213"/>
      <c r="BV3" s="215" t="s">
        <v>186</v>
      </c>
      <c r="BW3" s="215" t="s">
        <v>186</v>
      </c>
      <c r="BX3" s="213"/>
      <c r="BY3" s="215" t="s">
        <v>186</v>
      </c>
      <c r="BZ3" s="213"/>
    </row>
    <row r="4" spans="1:78" ht="20.25" customHeight="1" x14ac:dyDescent="0.3">
      <c r="A4" s="98" t="str">
        <f>IF('Building Typology'!A4=0," ",'Building Typology'!A4)</f>
        <v>OFFICE</v>
      </c>
      <c r="B4" s="44"/>
      <c r="C4" s="114"/>
      <c r="D4" s="114"/>
      <c r="E4" s="114"/>
      <c r="F4" s="114"/>
      <c r="G4" s="114"/>
      <c r="H4" s="114"/>
      <c r="I4" s="114"/>
      <c r="J4" s="114"/>
      <c r="K4" s="114"/>
      <c r="L4" s="114"/>
      <c r="M4" s="44"/>
      <c r="N4" s="114"/>
      <c r="O4" s="114"/>
      <c r="P4" s="114"/>
      <c r="Q4" s="114"/>
      <c r="R4" s="114"/>
      <c r="S4" s="114"/>
      <c r="T4" s="114"/>
      <c r="U4" s="115"/>
      <c r="V4" s="44"/>
      <c r="W4" s="114"/>
      <c r="X4" s="114"/>
      <c r="Y4" s="114"/>
      <c r="Z4" s="114"/>
      <c r="AA4" s="114"/>
      <c r="AB4" s="114"/>
      <c r="AC4" s="114"/>
      <c r="AD4" s="115"/>
      <c r="AE4" s="44"/>
      <c r="AF4" s="114"/>
      <c r="AG4" s="114"/>
      <c r="AH4" s="114"/>
      <c r="AI4" s="114"/>
      <c r="AJ4" s="114"/>
      <c r="AK4" s="114"/>
      <c r="AL4" s="114"/>
      <c r="AM4" s="115"/>
      <c r="AN4" s="44"/>
      <c r="AO4" s="114"/>
      <c r="AP4" s="114"/>
      <c r="AQ4" s="114"/>
      <c r="AR4" s="114"/>
      <c r="AS4" s="114"/>
      <c r="AT4" s="114"/>
      <c r="AU4" s="114"/>
      <c r="AV4" s="115"/>
      <c r="AW4" s="44"/>
      <c r="AX4" s="114"/>
      <c r="AY4" s="114"/>
      <c r="AZ4" s="114"/>
      <c r="BA4" s="114"/>
      <c r="BB4" s="114"/>
      <c r="BC4" s="114"/>
      <c r="BD4" s="114"/>
      <c r="BE4" s="115"/>
      <c r="BF4" s="44"/>
      <c r="BG4" s="114"/>
      <c r="BH4" s="114"/>
      <c r="BI4" s="114"/>
      <c r="BJ4" s="114"/>
      <c r="BK4" s="114"/>
      <c r="BL4" s="114"/>
      <c r="BM4" s="114"/>
      <c r="BN4" s="115"/>
      <c r="BO4" s="44"/>
      <c r="BP4" s="114"/>
      <c r="BQ4" s="44"/>
      <c r="BR4" s="114"/>
      <c r="BS4" s="44"/>
      <c r="BT4" s="114"/>
      <c r="BU4" s="44"/>
      <c r="BV4" s="114"/>
      <c r="BW4" s="114"/>
      <c r="BX4" s="44"/>
      <c r="BY4" s="114"/>
      <c r="BZ4" s="44"/>
    </row>
    <row r="5" spans="1:78" x14ac:dyDescent="0.3">
      <c r="A5" s="46" t="str">
        <f>IF('Building Typology'!A5=0," ",'Building Typology'!A5)</f>
        <v>Class 'A' - gas boiler</v>
      </c>
      <c r="B5" s="44"/>
      <c r="C5" s="111">
        <f>+('Building Typology'!Q5-'Building Typology'!S5)*1000000/'Building Typology'!$E5</f>
        <v>12.234217367347282</v>
      </c>
      <c r="D5" s="111">
        <f>+('Building Typology'!S5)*1000000/'Building Typology'!$E5</f>
        <v>11.673718507859613</v>
      </c>
      <c r="E5" s="259">
        <v>0</v>
      </c>
      <c r="F5" s="259">
        <v>1</v>
      </c>
      <c r="G5" s="111">
        <f>+C5*E5</f>
        <v>0</v>
      </c>
      <c r="H5" s="111">
        <f t="shared" ref="H5:H9" si="0">+D5*F5</f>
        <v>11.673718507859613</v>
      </c>
      <c r="I5" s="259">
        <v>0</v>
      </c>
      <c r="J5" s="259">
        <v>0.85</v>
      </c>
      <c r="K5" s="111">
        <f t="shared" ref="K5:L9" si="1">+G5*I5</f>
        <v>0</v>
      </c>
      <c r="L5" s="112">
        <f t="shared" si="1"/>
        <v>9.9226607316806703</v>
      </c>
      <c r="M5" s="44"/>
      <c r="N5" s="259">
        <v>0</v>
      </c>
      <c r="O5" s="259">
        <v>0.85</v>
      </c>
      <c r="P5" s="112">
        <f t="shared" ref="P5:Q9" si="2">IFERROR(SUM($K5,$L5)/N5,0)</f>
        <v>0</v>
      </c>
      <c r="Q5" s="112">
        <f t="shared" si="2"/>
        <v>11.673718507859613</v>
      </c>
      <c r="R5" s="116">
        <f>+P5*'Global Inputs'!$F$30</f>
        <v>0</v>
      </c>
      <c r="S5" s="116">
        <f>Q5*'Global Inputs'!$F$31</f>
        <v>0.43886981845926792</v>
      </c>
      <c r="T5" s="116">
        <f>+P5*('Global Inputs'!$I$30-'Global Inputs'!$H$30)+'FS - Operational'!Q5*('Global Inputs'!$I$31-'Global Inputs'!$H$31)</f>
        <v>0.54282791061547198</v>
      </c>
      <c r="U5" s="256">
        <f>+R5+S5+T5</f>
        <v>0.98169772907473996</v>
      </c>
      <c r="V5" s="44"/>
      <c r="W5" s="259">
        <v>2.8</v>
      </c>
      <c r="X5" s="259" t="str">
        <f>+AY5</f>
        <v>-</v>
      </c>
      <c r="Y5" s="112">
        <f t="shared" ref="Y5:Z9" si="3">IFERROR(SUM($K5,$L5)/W5,0)</f>
        <v>3.5438074041716683</v>
      </c>
      <c r="Z5" s="112">
        <f t="shared" si="3"/>
        <v>0</v>
      </c>
      <c r="AA5" s="116">
        <f>+Y5*'Global Inputs'!$F$30</f>
        <v>0.56700918466746697</v>
      </c>
      <c r="AB5" s="116">
        <f>Z5*'Global Inputs'!$F$33</f>
        <v>0</v>
      </c>
      <c r="AC5" s="116">
        <f>+Y5*('Global Inputs'!$I$30-'Global Inputs'!$H$30)+'FS - Operational'!Z5*('Global Inputs'!$I$31-'Global Inputs'!$H$31)</f>
        <v>4.1196761073495645E-2</v>
      </c>
      <c r="AD5" s="256">
        <f>+AA5+AB5+AC5</f>
        <v>0.60820594574096265</v>
      </c>
      <c r="AE5" s="44"/>
      <c r="AF5" s="259">
        <f>+W5</f>
        <v>2.8</v>
      </c>
      <c r="AG5" s="259" t="str">
        <f>+X5</f>
        <v>-</v>
      </c>
      <c r="AH5" s="112">
        <f t="shared" ref="AH5:AI9" si="4">IFERROR(SUM($K5,$L5)/AF5,0)</f>
        <v>3.5438074041716683</v>
      </c>
      <c r="AI5" s="112">
        <f t="shared" si="4"/>
        <v>0</v>
      </c>
      <c r="AJ5" s="116">
        <f>+AH5*'Global Inputs'!$F$30</f>
        <v>0.56700918466746697</v>
      </c>
      <c r="AK5" s="116">
        <f>AI5*'Global Inputs'!$F$33</f>
        <v>0</v>
      </c>
      <c r="AL5" s="116">
        <f>+AH5*('Global Inputs'!$I$30-'Global Inputs'!$H$30)+'FS - Operational'!AI5*('Global Inputs'!$I$31-'Global Inputs'!$H$31)</f>
        <v>4.1196761073495645E-2</v>
      </c>
      <c r="AM5" s="256">
        <f>+AJ5+AK5+AL5</f>
        <v>0.60820594574096265</v>
      </c>
      <c r="AN5" s="44"/>
      <c r="AO5" s="259">
        <v>3.1</v>
      </c>
      <c r="AP5" s="259" t="str">
        <f>+AG5</f>
        <v>-</v>
      </c>
      <c r="AQ5" s="112">
        <f t="shared" ref="AQ5:AR9" si="5">IFERROR(SUM($K5,$L5)/AO5,0)</f>
        <v>3.2008583005421518</v>
      </c>
      <c r="AR5" s="112">
        <f t="shared" si="5"/>
        <v>0</v>
      </c>
      <c r="AS5" s="116">
        <f>+AQ5*'Global Inputs'!$F$30</f>
        <v>0.51213732808674428</v>
      </c>
      <c r="AT5" s="116">
        <f>AR5*'Global Inputs'!$F$33</f>
        <v>0</v>
      </c>
      <c r="AU5" s="116">
        <f>+AQ5*('Global Inputs'!$I$30-'Global Inputs'!$H$30)+'FS - Operational'!AR5*('Global Inputs'!$I$31-'Global Inputs'!$H$31)</f>
        <v>3.7209977743802518E-2</v>
      </c>
      <c r="AV5" s="256">
        <f>+AS5+AT5+AU5</f>
        <v>0.54934730583054681</v>
      </c>
      <c r="AW5" s="44"/>
      <c r="AX5" s="259">
        <v>0.98</v>
      </c>
      <c r="AY5" s="259" t="s">
        <v>238</v>
      </c>
      <c r="AZ5" s="112">
        <f t="shared" ref="AZ5:BA9" si="6">IFERROR(SUM($K5,$L5)/AX5,0)</f>
        <v>10.125164011919052</v>
      </c>
      <c r="BA5" s="112">
        <f t="shared" si="6"/>
        <v>0</v>
      </c>
      <c r="BB5" s="116">
        <f>+AZ5*'Global Inputs'!$F$30</f>
        <v>1.6200262419070484</v>
      </c>
      <c r="BC5" s="116">
        <f>BA5*'Global Inputs'!$F$33</f>
        <v>0</v>
      </c>
      <c r="BD5" s="116">
        <f>+AZ5*('Global Inputs'!$I$30-'Global Inputs'!$H$30)+'FS - Operational'!BA5*('Global Inputs'!$I$31-'Global Inputs'!$H$31)</f>
        <v>0.11770503163855899</v>
      </c>
      <c r="BE5" s="256">
        <f>+BB5+BC5+BD5</f>
        <v>1.7377312735456074</v>
      </c>
      <c r="BF5" s="44"/>
      <c r="BG5" s="259">
        <f>+N5</f>
        <v>0</v>
      </c>
      <c r="BH5" s="259">
        <f>+O5</f>
        <v>0.85</v>
      </c>
      <c r="BI5" s="112">
        <f t="shared" ref="BI5:BJ9" si="7">IFERROR(SUM($K5,$L5)/BG5,0)</f>
        <v>0</v>
      </c>
      <c r="BJ5" s="112">
        <f t="shared" si="7"/>
        <v>11.673718507859613</v>
      </c>
      <c r="BK5" s="116">
        <f>+BI5*'Global Inputs'!$F$30</f>
        <v>0</v>
      </c>
      <c r="BL5" s="116">
        <f>BJ5*'Global Inputs'!$F$33</f>
        <v>2.2180065164933267</v>
      </c>
      <c r="BM5" s="116">
        <f>+BI5*('Global Inputs'!$I$30-'Global Inputs'!$H$30)+'FS - Operational'!BJ5*('Global Inputs'!$I$33-'Global Inputs'!$H$33)</f>
        <v>0.19386711093409717</v>
      </c>
      <c r="BN5" s="256">
        <f>+BK5+BL5+BM5</f>
        <v>2.4118736274274237</v>
      </c>
      <c r="BO5" s="44"/>
      <c r="BP5" s="256">
        <f>+U5</f>
        <v>0.98169772907473996</v>
      </c>
      <c r="BQ5" s="44"/>
      <c r="BR5" s="256">
        <f>+AD5</f>
        <v>0.60820594574096265</v>
      </c>
      <c r="BS5" s="44"/>
      <c r="BT5" s="256">
        <f>+AM5</f>
        <v>0.60820594574096265</v>
      </c>
      <c r="BU5" s="44"/>
      <c r="BV5" s="256">
        <f>+AV5</f>
        <v>0.54934730583054681</v>
      </c>
      <c r="BW5" s="256">
        <f>+BE5</f>
        <v>1.7377312735456074</v>
      </c>
      <c r="BX5" s="44"/>
      <c r="BY5" s="256">
        <f>+BN5</f>
        <v>2.4118736274274237</v>
      </c>
      <c r="BZ5" s="44"/>
    </row>
    <row r="6" spans="1:78" x14ac:dyDescent="0.3">
      <c r="A6" s="46" t="str">
        <f>IF('Building Typology'!A6=0," ",'Building Typology'!A6)</f>
        <v>Class 'A' - district heating/ cooling</v>
      </c>
      <c r="B6" s="44"/>
      <c r="C6" s="260">
        <f>+('Building Typology'!Q6-'Building Typology'!S6)*1000000/'Building Typology'!$E6</f>
        <v>23.907935875206899</v>
      </c>
      <c r="D6" s="111">
        <f>+('Building Typology'!S6)*1000000/'Building Typology'!$E6</f>
        <v>0</v>
      </c>
      <c r="E6" s="259">
        <v>0.5</v>
      </c>
      <c r="F6" s="259">
        <v>0</v>
      </c>
      <c r="G6" s="111">
        <f>+C6*E6</f>
        <v>11.95396793760345</v>
      </c>
      <c r="H6" s="111">
        <f t="shared" si="0"/>
        <v>0</v>
      </c>
      <c r="I6" s="259">
        <v>0.98</v>
      </c>
      <c r="J6" s="259">
        <v>0</v>
      </c>
      <c r="K6" s="111">
        <f t="shared" si="1"/>
        <v>11.714888578851381</v>
      </c>
      <c r="L6" s="112">
        <f t="shared" si="1"/>
        <v>0</v>
      </c>
      <c r="M6" s="44"/>
      <c r="N6" s="259">
        <v>0.98</v>
      </c>
      <c r="O6" s="259">
        <v>0</v>
      </c>
      <c r="P6" s="112">
        <f t="shared" si="2"/>
        <v>11.953967937603451</v>
      </c>
      <c r="Q6" s="112">
        <f t="shared" si="2"/>
        <v>0</v>
      </c>
      <c r="R6" s="116">
        <f>+P6*'Global Inputs'!$F$30</f>
        <v>1.9126348700165523</v>
      </c>
      <c r="S6" s="116">
        <f>Q6*'Global Inputs'!$F$31</f>
        <v>0</v>
      </c>
      <c r="T6" s="116">
        <f>+P6*('Global Inputs'!$I$30-'Global Inputs'!$H$30)+'FS - Operational'!Q6*('Global Inputs'!$I$31-'Global Inputs'!$H$31)</f>
        <v>0.13896487727464013</v>
      </c>
      <c r="U6" s="256">
        <f>+R6+S6+T6</f>
        <v>2.0515997472911924</v>
      </c>
      <c r="V6" s="44"/>
      <c r="W6" s="259" t="str">
        <f>+AX6</f>
        <v>na</v>
      </c>
      <c r="X6" s="259" t="str">
        <f>+AY6</f>
        <v>na</v>
      </c>
      <c r="Y6" s="112">
        <f t="shared" si="3"/>
        <v>0</v>
      </c>
      <c r="Z6" s="112">
        <f t="shared" si="3"/>
        <v>0</v>
      </c>
      <c r="AA6" s="116">
        <f>+Y6*'Global Inputs'!$F$30</f>
        <v>0</v>
      </c>
      <c r="AB6" s="116">
        <f>Z6*'Global Inputs'!$F$33</f>
        <v>0</v>
      </c>
      <c r="AC6" s="116">
        <f>+Y6*('Global Inputs'!$I$30-'Global Inputs'!$H$30)+'FS - Operational'!Z6*('Global Inputs'!$I$31-'Global Inputs'!$H$31)</f>
        <v>0</v>
      </c>
      <c r="AD6" s="256">
        <f>+AA6+AB6+AC6</f>
        <v>0</v>
      </c>
      <c r="AE6" s="44"/>
      <c r="AF6" s="259" t="str">
        <f t="shared" ref="AF6:AF9" si="8">+W6</f>
        <v>na</v>
      </c>
      <c r="AG6" s="259" t="str">
        <f t="shared" ref="AG6:AG9" si="9">+X6</f>
        <v>na</v>
      </c>
      <c r="AH6" s="112">
        <f t="shared" si="4"/>
        <v>0</v>
      </c>
      <c r="AI6" s="112">
        <f t="shared" si="4"/>
        <v>0</v>
      </c>
      <c r="AJ6" s="116">
        <f>+AH6*'Global Inputs'!$F$30</f>
        <v>0</v>
      </c>
      <c r="AK6" s="116">
        <f>AI6*'Global Inputs'!$F$33</f>
        <v>0</v>
      </c>
      <c r="AL6" s="116">
        <f>+AH6*('Global Inputs'!$I$30-'Global Inputs'!$H$30)+'FS - Operational'!AI6*('Global Inputs'!$I$31-'Global Inputs'!$H$31)</f>
        <v>0</v>
      </c>
      <c r="AM6" s="256">
        <f>+AJ6+AK6+AL6</f>
        <v>0</v>
      </c>
      <c r="AN6" s="44"/>
      <c r="AO6" s="259" t="str">
        <f t="shared" ref="AO6:AO9" si="10">+AF6</f>
        <v>na</v>
      </c>
      <c r="AP6" s="259" t="str">
        <f t="shared" ref="AP6:AP9" si="11">+AG6</f>
        <v>na</v>
      </c>
      <c r="AQ6" s="112">
        <f t="shared" si="5"/>
        <v>0</v>
      </c>
      <c r="AR6" s="112">
        <f t="shared" si="5"/>
        <v>0</v>
      </c>
      <c r="AS6" s="116">
        <f>+AQ6*'Global Inputs'!$F$30</f>
        <v>0</v>
      </c>
      <c r="AT6" s="116">
        <f>AR6*'Global Inputs'!$F$33</f>
        <v>0</v>
      </c>
      <c r="AU6" s="116">
        <f>+AQ6*('Global Inputs'!$I$30-'Global Inputs'!$H$30)+'FS - Operational'!AR6*('Global Inputs'!$I$31-'Global Inputs'!$H$31)</f>
        <v>0</v>
      </c>
      <c r="AV6" s="256">
        <f>+AS6+AT6+AU6</f>
        <v>0</v>
      </c>
      <c r="AW6" s="44"/>
      <c r="AX6" s="259" t="str">
        <f>+BG6</f>
        <v>na</v>
      </c>
      <c r="AY6" s="259" t="str">
        <f>+BH6</f>
        <v>na</v>
      </c>
      <c r="AZ6" s="112">
        <f t="shared" si="6"/>
        <v>0</v>
      </c>
      <c r="BA6" s="112">
        <f t="shared" si="6"/>
        <v>0</v>
      </c>
      <c r="BB6" s="116">
        <f>+AZ6*'Global Inputs'!$F$30</f>
        <v>0</v>
      </c>
      <c r="BC6" s="116">
        <f>BA6*'Global Inputs'!$F$33</f>
        <v>0</v>
      </c>
      <c r="BD6" s="116">
        <f>+AZ6*('Global Inputs'!$I$30-'Global Inputs'!$H$30)+'FS - Operational'!BA6*('Global Inputs'!$I$31-'Global Inputs'!$H$31)</f>
        <v>0</v>
      </c>
      <c r="BE6" s="256">
        <f>+BB6+BC6+BD6</f>
        <v>0</v>
      </c>
      <c r="BF6" s="44"/>
      <c r="BG6" s="259" t="s">
        <v>393</v>
      </c>
      <c r="BH6" s="259" t="s">
        <v>393</v>
      </c>
      <c r="BI6" s="112">
        <f t="shared" si="7"/>
        <v>0</v>
      </c>
      <c r="BJ6" s="112">
        <f t="shared" si="7"/>
        <v>0</v>
      </c>
      <c r="BK6" s="116">
        <f>+BI6*'Global Inputs'!$F$30</f>
        <v>0</v>
      </c>
      <c r="BL6" s="116">
        <f>BJ6*'Global Inputs'!$F$33</f>
        <v>0</v>
      </c>
      <c r="BM6" s="116">
        <f>+BI6*('Global Inputs'!$I$30-'Global Inputs'!$H$30)+'FS - Operational'!BJ6*('Global Inputs'!$I$33-'Global Inputs'!$H$33)</f>
        <v>0</v>
      </c>
      <c r="BN6" s="256">
        <f>+BK6+BL6+BM6</f>
        <v>0</v>
      </c>
      <c r="BO6" s="44"/>
      <c r="BP6" s="256">
        <f>+U6</f>
        <v>2.0515997472911924</v>
      </c>
      <c r="BQ6" s="44"/>
      <c r="BR6" s="256">
        <f>+AD6</f>
        <v>0</v>
      </c>
      <c r="BS6" s="44"/>
      <c r="BT6" s="256">
        <f>+AM6</f>
        <v>0</v>
      </c>
      <c r="BU6" s="44"/>
      <c r="BV6" s="256">
        <f>+AV6</f>
        <v>0</v>
      </c>
      <c r="BW6" s="256">
        <f t="shared" ref="BW6:BW9" si="12">+BE6</f>
        <v>0</v>
      </c>
      <c r="BX6" s="44"/>
      <c r="BY6" s="256">
        <f>+BN6</f>
        <v>0</v>
      </c>
      <c r="BZ6" s="44"/>
    </row>
    <row r="7" spans="1:78" x14ac:dyDescent="0.3">
      <c r="A7" s="46" t="str">
        <f>IF('Building Typology'!A7=0," ",'Building Typology'!A7)</f>
        <v>Class 'A' - electric</v>
      </c>
      <c r="B7" s="44"/>
      <c r="C7" s="111">
        <f>+('Building Typology'!Q7-'Building Typology'!S7)*1000000/'Building Typology'!$E7</f>
        <v>23.907935875206892</v>
      </c>
      <c r="D7" s="111">
        <f>+('Building Typology'!S7)*1000000/'Building Typology'!$E7</f>
        <v>0</v>
      </c>
      <c r="E7" s="259">
        <v>0.5</v>
      </c>
      <c r="F7" s="259">
        <v>0</v>
      </c>
      <c r="G7" s="111">
        <f t="shared" ref="G7:G9" si="13">+C7*E7</f>
        <v>11.953967937603446</v>
      </c>
      <c r="H7" s="111">
        <f t="shared" si="0"/>
        <v>0</v>
      </c>
      <c r="I7" s="259">
        <v>0.98</v>
      </c>
      <c r="J7" s="259">
        <v>0</v>
      </c>
      <c r="K7" s="111">
        <f t="shared" si="1"/>
        <v>11.714888578851378</v>
      </c>
      <c r="L7" s="112">
        <f t="shared" si="1"/>
        <v>0</v>
      </c>
      <c r="M7" s="44"/>
      <c r="N7" s="259">
        <v>0.98</v>
      </c>
      <c r="O7" s="259">
        <v>0</v>
      </c>
      <c r="P7" s="112">
        <f t="shared" si="2"/>
        <v>11.953967937603446</v>
      </c>
      <c r="Q7" s="112">
        <f t="shared" si="2"/>
        <v>0</v>
      </c>
      <c r="R7" s="116">
        <f>+P7*'Global Inputs'!$F$30</f>
        <v>1.9126348700165514</v>
      </c>
      <c r="S7" s="116">
        <f>Q7*'Global Inputs'!$F$31</f>
        <v>0</v>
      </c>
      <c r="T7" s="116">
        <f>+P7*('Global Inputs'!$I$30-'Global Inputs'!$H$30)+'FS - Operational'!Q7*('Global Inputs'!$I$31-'Global Inputs'!$H$31)</f>
        <v>0.13896487727464005</v>
      </c>
      <c r="U7" s="256">
        <f>+R7+S7+T7</f>
        <v>2.0515997472911915</v>
      </c>
      <c r="V7" s="44"/>
      <c r="W7" s="259" t="str">
        <f>+AX7</f>
        <v>na</v>
      </c>
      <c r="X7" s="259" t="str">
        <f>+AY7</f>
        <v>na</v>
      </c>
      <c r="Y7" s="112">
        <f t="shared" si="3"/>
        <v>0</v>
      </c>
      <c r="Z7" s="112">
        <f t="shared" si="3"/>
        <v>0</v>
      </c>
      <c r="AA7" s="116">
        <f>+Y7*'Global Inputs'!$F$30</f>
        <v>0</v>
      </c>
      <c r="AB7" s="116">
        <f>Z7*'Global Inputs'!$F$33</f>
        <v>0</v>
      </c>
      <c r="AC7" s="116">
        <f>+Y7*('Global Inputs'!$I$30-'Global Inputs'!$H$30)+'FS - Operational'!Z7*('Global Inputs'!$I$31-'Global Inputs'!$H$31)</f>
        <v>0</v>
      </c>
      <c r="AD7" s="256">
        <f>+AA7+AB7+AC7</f>
        <v>0</v>
      </c>
      <c r="AE7" s="44"/>
      <c r="AF7" s="259" t="str">
        <f t="shared" si="8"/>
        <v>na</v>
      </c>
      <c r="AG7" s="259" t="str">
        <f t="shared" si="9"/>
        <v>na</v>
      </c>
      <c r="AH7" s="112">
        <f t="shared" si="4"/>
        <v>0</v>
      </c>
      <c r="AI7" s="112">
        <f t="shared" si="4"/>
        <v>0</v>
      </c>
      <c r="AJ7" s="116">
        <f>+AH7*'Global Inputs'!$F$30</f>
        <v>0</v>
      </c>
      <c r="AK7" s="116">
        <f>AI7*'Global Inputs'!$F$33</f>
        <v>0</v>
      </c>
      <c r="AL7" s="116">
        <f>+AH7*('Global Inputs'!$I$30-'Global Inputs'!$H$30)+'FS - Operational'!AI7*('Global Inputs'!$I$31-'Global Inputs'!$H$31)</f>
        <v>0</v>
      </c>
      <c r="AM7" s="256">
        <f>+AJ7+AK7+AL7</f>
        <v>0</v>
      </c>
      <c r="AN7" s="44"/>
      <c r="AO7" s="259" t="str">
        <f t="shared" si="10"/>
        <v>na</v>
      </c>
      <c r="AP7" s="259" t="str">
        <f t="shared" si="11"/>
        <v>na</v>
      </c>
      <c r="AQ7" s="112">
        <f t="shared" si="5"/>
        <v>0</v>
      </c>
      <c r="AR7" s="112">
        <f t="shared" si="5"/>
        <v>0</v>
      </c>
      <c r="AS7" s="116">
        <f>+AQ7*'Global Inputs'!$F$30</f>
        <v>0</v>
      </c>
      <c r="AT7" s="116">
        <f>AR7*'Global Inputs'!$F$33</f>
        <v>0</v>
      </c>
      <c r="AU7" s="116">
        <f>+AQ7*('Global Inputs'!$I$30-'Global Inputs'!$H$30)+'FS - Operational'!AR7*('Global Inputs'!$I$31-'Global Inputs'!$H$31)</f>
        <v>0</v>
      </c>
      <c r="AV7" s="256">
        <f>+AS7+AT7+AU7</f>
        <v>0</v>
      </c>
      <c r="AW7" s="44"/>
      <c r="AX7" s="259" t="str">
        <f>+BG7</f>
        <v>na</v>
      </c>
      <c r="AY7" s="259" t="str">
        <f>+BH7</f>
        <v>na</v>
      </c>
      <c r="AZ7" s="112">
        <f t="shared" si="6"/>
        <v>0</v>
      </c>
      <c r="BA7" s="112">
        <f t="shared" si="6"/>
        <v>0</v>
      </c>
      <c r="BB7" s="116">
        <f>+AZ7*'Global Inputs'!$F$30</f>
        <v>0</v>
      </c>
      <c r="BC7" s="116">
        <f>BA7*'Global Inputs'!$F$33</f>
        <v>0</v>
      </c>
      <c r="BD7" s="116">
        <f>+AZ7*('Global Inputs'!$I$30-'Global Inputs'!$H$30)+'FS - Operational'!BA7*('Global Inputs'!$I$31-'Global Inputs'!$H$31)</f>
        <v>0</v>
      </c>
      <c r="BE7" s="256">
        <f>+BB7+BC7+BD7</f>
        <v>0</v>
      </c>
      <c r="BF7" s="44"/>
      <c r="BG7" s="259" t="s">
        <v>393</v>
      </c>
      <c r="BH7" s="259" t="s">
        <v>393</v>
      </c>
      <c r="BI7" s="112">
        <f t="shared" si="7"/>
        <v>0</v>
      </c>
      <c r="BJ7" s="112">
        <f t="shared" si="7"/>
        <v>0</v>
      </c>
      <c r="BK7" s="116">
        <f>+BI7*'Global Inputs'!$F$30</f>
        <v>0</v>
      </c>
      <c r="BL7" s="116">
        <f>BJ7*'Global Inputs'!$F$33</f>
        <v>0</v>
      </c>
      <c r="BM7" s="116">
        <f>+BI7*('Global Inputs'!$I$30-'Global Inputs'!$H$30)+'FS - Operational'!BJ7*('Global Inputs'!$I$33-'Global Inputs'!$H$33)</f>
        <v>0</v>
      </c>
      <c r="BN7" s="256">
        <f>+BK7+BL7+BM7</f>
        <v>0</v>
      </c>
      <c r="BO7" s="44"/>
      <c r="BP7" s="256">
        <f>+U7</f>
        <v>2.0515997472911915</v>
      </c>
      <c r="BQ7" s="44"/>
      <c r="BR7" s="256">
        <f>+AD7</f>
        <v>0</v>
      </c>
      <c r="BS7" s="44"/>
      <c r="BT7" s="256">
        <f>+AM7</f>
        <v>0</v>
      </c>
      <c r="BU7" s="44"/>
      <c r="BV7" s="256">
        <f>+AV7</f>
        <v>0</v>
      </c>
      <c r="BW7" s="256">
        <f t="shared" si="12"/>
        <v>0</v>
      </c>
      <c r="BX7" s="44"/>
      <c r="BY7" s="256">
        <f>+BN7</f>
        <v>0</v>
      </c>
      <c r="BZ7" s="44"/>
    </row>
    <row r="8" spans="1:78" x14ac:dyDescent="0.3">
      <c r="A8" s="46" t="str">
        <f>IF('Building Typology'!A8=0," ",'Building Typology'!A8)</f>
        <v>Class 'B' &amp; 'C' - rooftop units</v>
      </c>
      <c r="B8" s="44"/>
      <c r="C8" s="111">
        <f>+('Building Typology'!Q8-'Building Typology'!S8)*1000000/'Building Typology'!$E8</f>
        <v>15.534939857581062</v>
      </c>
      <c r="D8" s="111">
        <f>+('Building Typology'!S8)*1000000/'Building Typology'!$E8</f>
        <v>11.673718507859615</v>
      </c>
      <c r="E8" s="259">
        <v>0</v>
      </c>
      <c r="F8" s="259">
        <v>1</v>
      </c>
      <c r="G8" s="111">
        <f t="shared" si="13"/>
        <v>0</v>
      </c>
      <c r="H8" s="111">
        <f t="shared" si="0"/>
        <v>11.673718507859615</v>
      </c>
      <c r="I8" s="259">
        <v>0</v>
      </c>
      <c r="J8" s="259">
        <v>0.75</v>
      </c>
      <c r="K8" s="111">
        <f t="shared" si="1"/>
        <v>0</v>
      </c>
      <c r="L8" s="112">
        <f t="shared" si="1"/>
        <v>8.7552888808947102</v>
      </c>
      <c r="M8" s="44"/>
      <c r="N8" s="259">
        <v>0</v>
      </c>
      <c r="O8" s="259">
        <v>0.75</v>
      </c>
      <c r="P8" s="112">
        <f t="shared" si="2"/>
        <v>0</v>
      </c>
      <c r="Q8" s="112">
        <f t="shared" si="2"/>
        <v>11.673718507859613</v>
      </c>
      <c r="R8" s="116">
        <f>+P8*'Global Inputs'!$F$30</f>
        <v>0</v>
      </c>
      <c r="S8" s="116">
        <f>Q8*'Global Inputs'!$F$31</f>
        <v>0.43886981845926792</v>
      </c>
      <c r="T8" s="116">
        <f>+P8*('Global Inputs'!$I$30-'Global Inputs'!$H$30)+'FS - Operational'!Q8*('Global Inputs'!$I$31-'Global Inputs'!$H$31)</f>
        <v>0.54282791061547198</v>
      </c>
      <c r="U8" s="256">
        <f>+R8+S8+T8</f>
        <v>0.98169772907473996</v>
      </c>
      <c r="V8" s="44"/>
      <c r="W8" s="259">
        <f>+$W$5</f>
        <v>2.8</v>
      </c>
      <c r="X8" s="259" t="str">
        <f>+AY8</f>
        <v>-</v>
      </c>
      <c r="Y8" s="112">
        <f t="shared" si="3"/>
        <v>3.1268888860338251</v>
      </c>
      <c r="Z8" s="112">
        <f t="shared" si="3"/>
        <v>0</v>
      </c>
      <c r="AA8" s="116">
        <f>+Y8*'Global Inputs'!$F$30</f>
        <v>0.50030222176541206</v>
      </c>
      <c r="AB8" s="116">
        <f>Z8*'Global Inputs'!$F$33</f>
        <v>0</v>
      </c>
      <c r="AC8" s="116">
        <f>+Y8*('Global Inputs'!$I$30-'Global Inputs'!$H$30)+'FS - Operational'!Z8*('Global Inputs'!$I$31-'Global Inputs'!$H$31)</f>
        <v>3.6350083300143214E-2</v>
      </c>
      <c r="AD8" s="256">
        <f>+AA8+AB8+AC8</f>
        <v>0.53665230506555528</v>
      </c>
      <c r="AE8" s="44"/>
      <c r="AF8" s="259">
        <f>+$AF$5</f>
        <v>2.8</v>
      </c>
      <c r="AG8" s="259" t="str">
        <f t="shared" si="9"/>
        <v>-</v>
      </c>
      <c r="AH8" s="112">
        <f t="shared" si="4"/>
        <v>3.1268888860338251</v>
      </c>
      <c r="AI8" s="112">
        <f t="shared" si="4"/>
        <v>0</v>
      </c>
      <c r="AJ8" s="116">
        <f>+AH8*'Global Inputs'!$F$30</f>
        <v>0.50030222176541206</v>
      </c>
      <c r="AK8" s="116">
        <f>AI8*'Global Inputs'!$F$33</f>
        <v>0</v>
      </c>
      <c r="AL8" s="116">
        <f>+AH8*('Global Inputs'!$I$30-'Global Inputs'!$H$30)+'FS - Operational'!AI8*('Global Inputs'!$I$31-'Global Inputs'!$H$31)</f>
        <v>3.6350083300143214E-2</v>
      </c>
      <c r="AM8" s="256">
        <f>+AJ8+AK8+AL8</f>
        <v>0.53665230506555528</v>
      </c>
      <c r="AN8" s="44"/>
      <c r="AO8" s="259">
        <f>+$AO$5</f>
        <v>3.1</v>
      </c>
      <c r="AP8" s="259" t="str">
        <f t="shared" si="11"/>
        <v>-</v>
      </c>
      <c r="AQ8" s="112">
        <f t="shared" si="5"/>
        <v>2.8242867357724872</v>
      </c>
      <c r="AR8" s="112">
        <f t="shared" si="5"/>
        <v>0</v>
      </c>
      <c r="AS8" s="116">
        <f>+AQ8*'Global Inputs'!$F$30</f>
        <v>0.45188587772359795</v>
      </c>
      <c r="AT8" s="116">
        <f>AR8*'Global Inputs'!$F$33</f>
        <v>0</v>
      </c>
      <c r="AU8" s="116">
        <f>+AQ8*('Global Inputs'!$I$30-'Global Inputs'!$H$30)+'FS - Operational'!AR8*('Global Inputs'!$I$31-'Global Inputs'!$H$31)</f>
        <v>3.2832333303355166E-2</v>
      </c>
      <c r="AV8" s="256">
        <f>+AS8+AT8+AU8</f>
        <v>0.48471821102695312</v>
      </c>
      <c r="AW8" s="44"/>
      <c r="AX8" s="259">
        <f>+$AX$5</f>
        <v>0.98</v>
      </c>
      <c r="AY8" s="259" t="s">
        <v>238</v>
      </c>
      <c r="AZ8" s="112">
        <f t="shared" si="6"/>
        <v>8.9339682458109291</v>
      </c>
      <c r="BA8" s="112">
        <f t="shared" si="6"/>
        <v>0</v>
      </c>
      <c r="BB8" s="116">
        <f>+AZ8*'Global Inputs'!$F$30</f>
        <v>1.4294349193297486</v>
      </c>
      <c r="BC8" s="116">
        <f>BA8*'Global Inputs'!$F$33</f>
        <v>0</v>
      </c>
      <c r="BD8" s="116">
        <f>+AZ8*('Global Inputs'!$I$30-'Global Inputs'!$H$30)+'FS - Operational'!BA8*('Global Inputs'!$I$31-'Global Inputs'!$H$31)</f>
        <v>0.10385738085755206</v>
      </c>
      <c r="BE8" s="256">
        <f>+BB8+BC8+BD8</f>
        <v>1.5332923001873007</v>
      </c>
      <c r="BF8" s="44"/>
      <c r="BG8" s="259">
        <f>+N8</f>
        <v>0</v>
      </c>
      <c r="BH8" s="259">
        <f>+O8</f>
        <v>0.75</v>
      </c>
      <c r="BI8" s="112">
        <f t="shared" si="7"/>
        <v>0</v>
      </c>
      <c r="BJ8" s="112">
        <f t="shared" si="7"/>
        <v>11.673718507859613</v>
      </c>
      <c r="BK8" s="116">
        <f>+BI8*'Global Inputs'!$F$30</f>
        <v>0</v>
      </c>
      <c r="BL8" s="116">
        <f>BJ8*'Global Inputs'!$F$33</f>
        <v>2.2180065164933267</v>
      </c>
      <c r="BM8" s="116">
        <f>+BI8*('Global Inputs'!$I$30-'Global Inputs'!$H$30)+'FS - Operational'!BJ8*('Global Inputs'!$I$33-'Global Inputs'!$H$33)</f>
        <v>0.19386711093409717</v>
      </c>
      <c r="BN8" s="256">
        <f>+BK8+BL8+BM8</f>
        <v>2.4118736274274237</v>
      </c>
      <c r="BO8" s="44"/>
      <c r="BP8" s="256">
        <f>+U8</f>
        <v>0.98169772907473996</v>
      </c>
      <c r="BQ8" s="44"/>
      <c r="BR8" s="256">
        <f>+AD8</f>
        <v>0.53665230506555528</v>
      </c>
      <c r="BS8" s="44"/>
      <c r="BT8" s="256">
        <f>+AM8</f>
        <v>0.53665230506555528</v>
      </c>
      <c r="BU8" s="44"/>
      <c r="BV8" s="256">
        <f>+AV8</f>
        <v>0.48471821102695312</v>
      </c>
      <c r="BW8" s="256">
        <f t="shared" si="12"/>
        <v>1.5332923001873007</v>
      </c>
      <c r="BX8" s="44"/>
      <c r="BY8" s="256">
        <f>+BN8</f>
        <v>2.4118736274274237</v>
      </c>
      <c r="BZ8" s="44"/>
    </row>
    <row r="9" spans="1:78" x14ac:dyDescent="0.3">
      <c r="A9" s="46" t="str">
        <f>IF('Building Typology'!A9=0," ",'Building Typology'!A9)</f>
        <v>Class 'B' &amp; 'C' - electric</v>
      </c>
      <c r="B9" s="44"/>
      <c r="C9" s="111">
        <f>+('Building Typology'!Q9-'Building Typology'!S9)*1000000/'Building Typology'!$E9</f>
        <v>27.208658365440684</v>
      </c>
      <c r="D9" s="111">
        <f>+('Building Typology'!S9)*1000000/'Building Typology'!$E9</f>
        <v>0</v>
      </c>
      <c r="E9" s="259">
        <v>0.5</v>
      </c>
      <c r="F9" s="259">
        <v>0</v>
      </c>
      <c r="G9" s="111">
        <f t="shared" si="13"/>
        <v>13.604329182720342</v>
      </c>
      <c r="H9" s="111">
        <f t="shared" si="0"/>
        <v>0</v>
      </c>
      <c r="I9" s="259">
        <v>0.98</v>
      </c>
      <c r="J9" s="259">
        <v>0</v>
      </c>
      <c r="K9" s="111">
        <f t="shared" si="1"/>
        <v>13.332242599065935</v>
      </c>
      <c r="L9" s="112">
        <f t="shared" si="1"/>
        <v>0</v>
      </c>
      <c r="M9" s="44"/>
      <c r="N9" s="259">
        <v>0.98</v>
      </c>
      <c r="O9" s="259">
        <v>0</v>
      </c>
      <c r="P9" s="112">
        <f t="shared" si="2"/>
        <v>13.604329182720342</v>
      </c>
      <c r="Q9" s="112">
        <f t="shared" si="2"/>
        <v>0</v>
      </c>
      <c r="R9" s="116">
        <f>+P9*'Global Inputs'!$F$30</f>
        <v>2.1766926692352548</v>
      </c>
      <c r="S9" s="116">
        <f>Q9*'Global Inputs'!$F$31</f>
        <v>0</v>
      </c>
      <c r="T9" s="116">
        <f>+P9*('Global Inputs'!$I$30-'Global Inputs'!$H$30)+'FS - Operational'!Q9*('Global Inputs'!$I$31-'Global Inputs'!$H$31)</f>
        <v>0.15815032674912397</v>
      </c>
      <c r="U9" s="256">
        <f>+R9+S9+T9</f>
        <v>2.3348429959843786</v>
      </c>
      <c r="V9" s="44"/>
      <c r="W9" s="259" t="str">
        <f>+AX9</f>
        <v>na</v>
      </c>
      <c r="X9" s="259" t="str">
        <f>+AY9</f>
        <v>na</v>
      </c>
      <c r="Y9" s="112">
        <f t="shared" si="3"/>
        <v>0</v>
      </c>
      <c r="Z9" s="112">
        <f t="shared" si="3"/>
        <v>0</v>
      </c>
      <c r="AA9" s="116">
        <f>+Y9*'Global Inputs'!$F$30</f>
        <v>0</v>
      </c>
      <c r="AB9" s="116">
        <f>Z9*'Global Inputs'!$F$33</f>
        <v>0</v>
      </c>
      <c r="AC9" s="116">
        <f>+Y9*('Global Inputs'!$I$30-'Global Inputs'!$H$30)+'FS - Operational'!Z9*('Global Inputs'!$I$31-'Global Inputs'!$H$31)</f>
        <v>0</v>
      </c>
      <c r="AD9" s="256">
        <f>+AA9+AB9+AC9</f>
        <v>0</v>
      </c>
      <c r="AE9" s="44"/>
      <c r="AF9" s="259" t="str">
        <f t="shared" si="8"/>
        <v>na</v>
      </c>
      <c r="AG9" s="259" t="str">
        <f t="shared" si="9"/>
        <v>na</v>
      </c>
      <c r="AH9" s="112">
        <f t="shared" si="4"/>
        <v>0</v>
      </c>
      <c r="AI9" s="112">
        <f t="shared" si="4"/>
        <v>0</v>
      </c>
      <c r="AJ9" s="116">
        <f>+AH9*'Global Inputs'!$F$30</f>
        <v>0</v>
      </c>
      <c r="AK9" s="116">
        <f>AI9*'Global Inputs'!$F$33</f>
        <v>0</v>
      </c>
      <c r="AL9" s="116">
        <f>+AH9*('Global Inputs'!$I$30-'Global Inputs'!$H$30)+'FS - Operational'!AI9*('Global Inputs'!$I$31-'Global Inputs'!$H$31)</f>
        <v>0</v>
      </c>
      <c r="AM9" s="256">
        <f>+AJ9+AK9+AL9</f>
        <v>0</v>
      </c>
      <c r="AN9" s="44"/>
      <c r="AO9" s="259" t="str">
        <f t="shared" si="10"/>
        <v>na</v>
      </c>
      <c r="AP9" s="259" t="str">
        <f t="shared" si="11"/>
        <v>na</v>
      </c>
      <c r="AQ9" s="112">
        <f t="shared" si="5"/>
        <v>0</v>
      </c>
      <c r="AR9" s="112">
        <f t="shared" si="5"/>
        <v>0</v>
      </c>
      <c r="AS9" s="116">
        <f>+AQ9*'Global Inputs'!$F$30</f>
        <v>0</v>
      </c>
      <c r="AT9" s="116">
        <f>AR9*'Global Inputs'!$F$33</f>
        <v>0</v>
      </c>
      <c r="AU9" s="116">
        <f>+AQ9*('Global Inputs'!$I$30-'Global Inputs'!$H$30)+'FS - Operational'!AR9*('Global Inputs'!$I$31-'Global Inputs'!$H$31)</f>
        <v>0</v>
      </c>
      <c r="AV9" s="256">
        <f>+AS9+AT9+AU9</f>
        <v>0</v>
      </c>
      <c r="AW9" s="44"/>
      <c r="AX9" s="259" t="str">
        <f>+BG9</f>
        <v>na</v>
      </c>
      <c r="AY9" s="259" t="str">
        <f>+BH9</f>
        <v>na</v>
      </c>
      <c r="AZ9" s="112">
        <f t="shared" si="6"/>
        <v>0</v>
      </c>
      <c r="BA9" s="112">
        <f t="shared" si="6"/>
        <v>0</v>
      </c>
      <c r="BB9" s="116">
        <f>+AZ9*'Global Inputs'!$F$30</f>
        <v>0</v>
      </c>
      <c r="BC9" s="116">
        <f>BA9*'Global Inputs'!$F$33</f>
        <v>0</v>
      </c>
      <c r="BD9" s="116">
        <f>+AZ9*('Global Inputs'!$I$30-'Global Inputs'!$H$30)+'FS - Operational'!BA9*('Global Inputs'!$I$31-'Global Inputs'!$H$31)</f>
        <v>0</v>
      </c>
      <c r="BE9" s="256">
        <f>+BB9+BC9+BD9</f>
        <v>0</v>
      </c>
      <c r="BF9" s="44"/>
      <c r="BG9" s="259" t="s">
        <v>393</v>
      </c>
      <c r="BH9" s="259" t="s">
        <v>393</v>
      </c>
      <c r="BI9" s="112">
        <f t="shared" si="7"/>
        <v>0</v>
      </c>
      <c r="BJ9" s="112">
        <f t="shared" si="7"/>
        <v>0</v>
      </c>
      <c r="BK9" s="116">
        <f>+BI9*'Global Inputs'!$F$30</f>
        <v>0</v>
      </c>
      <c r="BL9" s="116">
        <f>BJ9*'Global Inputs'!$F$33</f>
        <v>0</v>
      </c>
      <c r="BM9" s="116">
        <f>+BI9*('Global Inputs'!$I$30-'Global Inputs'!$H$30)+'FS - Operational'!BJ9*('Global Inputs'!$I$33-'Global Inputs'!$H$33)</f>
        <v>0</v>
      </c>
      <c r="BN9" s="256">
        <f>+BK9+BL9+BM9</f>
        <v>0</v>
      </c>
      <c r="BO9" s="44"/>
      <c r="BP9" s="256">
        <f>+U9</f>
        <v>2.3348429959843786</v>
      </c>
      <c r="BQ9" s="44"/>
      <c r="BR9" s="256">
        <f>+AD9</f>
        <v>0</v>
      </c>
      <c r="BS9" s="44"/>
      <c r="BT9" s="256">
        <f>+AM9</f>
        <v>0</v>
      </c>
      <c r="BU9" s="44"/>
      <c r="BV9" s="256">
        <f>+AV9</f>
        <v>0</v>
      </c>
      <c r="BW9" s="256">
        <f t="shared" si="12"/>
        <v>0</v>
      </c>
      <c r="BX9" s="44"/>
      <c r="BY9" s="256">
        <f>+BN9</f>
        <v>0</v>
      </c>
      <c r="BZ9" s="44"/>
    </row>
    <row r="10" spans="1:78" x14ac:dyDescent="0.3">
      <c r="A10" s="44" t="str">
        <f>IF('Building Typology'!A10=0," ",'Building Typology'!A10)</f>
        <v xml:space="preserve"> </v>
      </c>
      <c r="B10" s="44"/>
      <c r="C10" s="113"/>
      <c r="D10" s="113"/>
      <c r="E10" s="261"/>
      <c r="F10" s="261"/>
      <c r="G10" s="113"/>
      <c r="H10" s="113"/>
      <c r="I10" s="261"/>
      <c r="J10" s="261"/>
      <c r="K10" s="113"/>
      <c r="L10" s="113"/>
      <c r="M10" s="44"/>
      <c r="N10" s="261"/>
      <c r="O10" s="261"/>
      <c r="P10" s="113"/>
      <c r="Q10" s="113"/>
      <c r="R10" s="113"/>
      <c r="S10" s="113"/>
      <c r="T10" s="113"/>
      <c r="U10" s="257"/>
      <c r="V10" s="44"/>
      <c r="W10" s="261"/>
      <c r="X10" s="261"/>
      <c r="Y10" s="113"/>
      <c r="Z10" s="113"/>
      <c r="AA10" s="113"/>
      <c r="AB10" s="113"/>
      <c r="AC10" s="113"/>
      <c r="AD10" s="257"/>
      <c r="AE10" s="44"/>
      <c r="AF10" s="261"/>
      <c r="AG10" s="261"/>
      <c r="AH10" s="113"/>
      <c r="AI10" s="113"/>
      <c r="AJ10" s="113"/>
      <c r="AK10" s="113"/>
      <c r="AL10" s="113"/>
      <c r="AM10" s="257"/>
      <c r="AN10" s="44"/>
      <c r="AO10" s="261"/>
      <c r="AP10" s="261"/>
      <c r="AQ10" s="113"/>
      <c r="AR10" s="113"/>
      <c r="AS10" s="113"/>
      <c r="AT10" s="113"/>
      <c r="AU10" s="113"/>
      <c r="AV10" s="257"/>
      <c r="AW10" s="44"/>
      <c r="AX10" s="261"/>
      <c r="AY10" s="261"/>
      <c r="AZ10" s="113"/>
      <c r="BA10" s="113"/>
      <c r="BB10" s="113"/>
      <c r="BC10" s="113"/>
      <c r="BD10" s="113"/>
      <c r="BE10" s="257"/>
      <c r="BF10" s="44"/>
      <c r="BG10" s="261"/>
      <c r="BH10" s="261"/>
      <c r="BI10" s="113"/>
      <c r="BJ10" s="113"/>
      <c r="BK10" s="113"/>
      <c r="BL10" s="113"/>
      <c r="BM10" s="113"/>
      <c r="BN10" s="257"/>
      <c r="BO10" s="44"/>
      <c r="BP10" s="113"/>
      <c r="BQ10" s="44"/>
      <c r="BR10" s="113"/>
      <c r="BS10" s="44"/>
      <c r="BT10" s="113"/>
      <c r="BU10" s="44"/>
      <c r="BV10" s="113"/>
      <c r="BW10" s="113"/>
      <c r="BX10" s="44"/>
      <c r="BY10" s="113"/>
      <c r="BZ10" s="44"/>
    </row>
    <row r="11" spans="1:78" ht="16.5" x14ac:dyDescent="0.3">
      <c r="A11" s="98" t="str">
        <f>IF('Building Typology'!A11=0," ",'Building Typology'!A11)</f>
        <v>RETAIL &amp; HOSPITALITY</v>
      </c>
      <c r="B11" s="44"/>
      <c r="C11" s="116"/>
      <c r="D11" s="116"/>
      <c r="E11" s="262"/>
      <c r="F11" s="262"/>
      <c r="G11" s="116"/>
      <c r="H11" s="116"/>
      <c r="I11" s="96"/>
      <c r="J11" s="96"/>
      <c r="K11" s="116"/>
      <c r="L11" s="115"/>
      <c r="M11" s="44"/>
      <c r="N11" s="262"/>
      <c r="O11" s="262"/>
      <c r="P11" s="115"/>
      <c r="Q11" s="115"/>
      <c r="R11" s="116"/>
      <c r="S11" s="116"/>
      <c r="T11" s="116"/>
      <c r="U11" s="256"/>
      <c r="V11" s="44"/>
      <c r="W11" s="262"/>
      <c r="X11" s="262"/>
      <c r="Y11" s="115"/>
      <c r="Z11" s="115"/>
      <c r="AA11" s="116"/>
      <c r="AB11" s="116"/>
      <c r="AC11" s="116"/>
      <c r="AD11" s="256"/>
      <c r="AE11" s="44"/>
      <c r="AF11" s="262"/>
      <c r="AG11" s="262"/>
      <c r="AH11" s="115"/>
      <c r="AI11" s="115"/>
      <c r="AJ11" s="116"/>
      <c r="AK11" s="116"/>
      <c r="AL11" s="116"/>
      <c r="AM11" s="256"/>
      <c r="AN11" s="44"/>
      <c r="AO11" s="262"/>
      <c r="AP11" s="262"/>
      <c r="AQ11" s="115"/>
      <c r="AR11" s="115"/>
      <c r="AS11" s="116"/>
      <c r="AT11" s="116"/>
      <c r="AU11" s="116"/>
      <c r="AV11" s="256"/>
      <c r="AW11" s="44"/>
      <c r="AX11" s="262"/>
      <c r="AY11" s="262"/>
      <c r="AZ11" s="115"/>
      <c r="BA11" s="115"/>
      <c r="BB11" s="116"/>
      <c r="BC11" s="116"/>
      <c r="BD11" s="116"/>
      <c r="BE11" s="256"/>
      <c r="BF11" s="44"/>
      <c r="BG11" s="262"/>
      <c r="BH11" s="262"/>
      <c r="BI11" s="115"/>
      <c r="BJ11" s="115"/>
      <c r="BK11" s="116"/>
      <c r="BL11" s="116"/>
      <c r="BM11" s="116"/>
      <c r="BN11" s="256"/>
      <c r="BO11" s="44"/>
      <c r="BP11" s="116"/>
      <c r="BQ11" s="44"/>
      <c r="BR11" s="116"/>
      <c r="BS11" s="44"/>
      <c r="BT11" s="116"/>
      <c r="BU11" s="44"/>
      <c r="BV11" s="116"/>
      <c r="BW11" s="116"/>
      <c r="BX11" s="44"/>
      <c r="BY11" s="116"/>
      <c r="BZ11" s="44"/>
    </row>
    <row r="12" spans="1:78" x14ac:dyDescent="0.3">
      <c r="A12" s="46" t="str">
        <f>IF('Building Typology'!A12=0," ",'Building Typology'!A12)</f>
        <v>Restaurant - gas MAU + RTU</v>
      </c>
      <c r="B12" s="44"/>
      <c r="C12" s="111">
        <f>+('Building Typology'!Q12-'Building Typology'!S12)*1000000/'Building Typology'!$E12</f>
        <v>110.96976432738761</v>
      </c>
      <c r="D12" s="111">
        <f>+('Building Typology'!S12)*1000000/'Building Typology'!$E12</f>
        <v>31.039309849203875</v>
      </c>
      <c r="E12" s="259">
        <v>0</v>
      </c>
      <c r="F12" s="259">
        <v>0.75</v>
      </c>
      <c r="G12" s="111">
        <f t="shared" ref="G12:G16" si="14">+C12*E12</f>
        <v>0</v>
      </c>
      <c r="H12" s="111">
        <f t="shared" ref="H12:H16" si="15">+D12*F12</f>
        <v>23.279482386902906</v>
      </c>
      <c r="I12" s="259">
        <v>0</v>
      </c>
      <c r="J12" s="259">
        <v>0.75</v>
      </c>
      <c r="K12" s="111">
        <f t="shared" ref="K12:L16" si="16">+G12*I12</f>
        <v>0</v>
      </c>
      <c r="L12" s="112">
        <f t="shared" si="16"/>
        <v>17.459611790177178</v>
      </c>
      <c r="M12" s="44"/>
      <c r="N12" s="259">
        <v>0</v>
      </c>
      <c r="O12" s="259">
        <v>0.75</v>
      </c>
      <c r="P12" s="112">
        <f t="shared" ref="P12:Q16" si="17">IFERROR(SUM($K12,$L12)/N12,0)</f>
        <v>0</v>
      </c>
      <c r="Q12" s="112">
        <f t="shared" si="17"/>
        <v>23.279482386902902</v>
      </c>
      <c r="R12" s="116">
        <f>+P12*'Global Inputs'!$F$30</f>
        <v>0</v>
      </c>
      <c r="S12" s="116">
        <f>Q12*'Global Inputs'!$F$31</f>
        <v>0.8751849037722802</v>
      </c>
      <c r="T12" s="116">
        <f>+P12*('Global Inputs'!$I$30-'Global Inputs'!$H$30)+'FS - Operational'!Q12*('Global Inputs'!$I$31-'Global Inputs'!$H$31)</f>
        <v>1.082495930990985</v>
      </c>
      <c r="U12" s="256">
        <f>+R12+S12+T12</f>
        <v>1.957680834763265</v>
      </c>
      <c r="V12" s="44"/>
      <c r="W12" s="259">
        <f>+$W$5</f>
        <v>2.8</v>
      </c>
      <c r="X12" s="259" t="str">
        <f>+AY12</f>
        <v>-</v>
      </c>
      <c r="Y12" s="112">
        <f t="shared" ref="Y12:Z16" si="18">IFERROR(SUM($K12,$L12)/W12,0)</f>
        <v>6.2355756393489923</v>
      </c>
      <c r="Z12" s="112">
        <f t="shared" si="18"/>
        <v>0</v>
      </c>
      <c r="AA12" s="116">
        <f>+Y12*'Global Inputs'!$F$30</f>
        <v>0.99769210229583882</v>
      </c>
      <c r="AB12" s="116">
        <f>Z12*'Global Inputs'!$F$33</f>
        <v>0</v>
      </c>
      <c r="AC12" s="116">
        <f>+Y12*('Global Inputs'!$I$30-'Global Inputs'!$H$30)+'FS - Operational'!Z12*('Global Inputs'!$I$31-'Global Inputs'!$H$31)</f>
        <v>7.2488566807432028E-2</v>
      </c>
      <c r="AD12" s="256">
        <f>+AA12+AB12+AC12</f>
        <v>1.0701806691032709</v>
      </c>
      <c r="AE12" s="44"/>
      <c r="AF12" s="259">
        <f>+$AF$5</f>
        <v>2.8</v>
      </c>
      <c r="AG12" s="259" t="str">
        <f t="shared" ref="AG12:AG16" si="19">+X12</f>
        <v>-</v>
      </c>
      <c r="AH12" s="112">
        <f t="shared" ref="AH12:AI16" si="20">IFERROR(SUM($K12,$L12)/AF12,0)</f>
        <v>6.2355756393489923</v>
      </c>
      <c r="AI12" s="112">
        <f t="shared" si="20"/>
        <v>0</v>
      </c>
      <c r="AJ12" s="116">
        <f>+AH12*'Global Inputs'!$F$30</f>
        <v>0.99769210229583882</v>
      </c>
      <c r="AK12" s="116">
        <f>AI12*'Global Inputs'!$F$33</f>
        <v>0</v>
      </c>
      <c r="AL12" s="116">
        <f>+AH12*('Global Inputs'!$I$30-'Global Inputs'!$H$30)+'FS - Operational'!AI12*('Global Inputs'!$I$31-'Global Inputs'!$H$31)</f>
        <v>7.2488566807432028E-2</v>
      </c>
      <c r="AM12" s="256">
        <f>+AJ12+AK12+AL12</f>
        <v>1.0701806691032709</v>
      </c>
      <c r="AN12" s="44"/>
      <c r="AO12" s="259">
        <f>+$AO$5</f>
        <v>3.1</v>
      </c>
      <c r="AP12" s="259" t="str">
        <f t="shared" ref="AP12:AP16" si="21">+AG12</f>
        <v>-</v>
      </c>
      <c r="AQ12" s="112">
        <f t="shared" ref="AQ12:AR16" si="22">IFERROR(SUM($K12,$L12)/AO12,0)</f>
        <v>5.6321328355410252</v>
      </c>
      <c r="AR12" s="112">
        <f t="shared" si="22"/>
        <v>0</v>
      </c>
      <c r="AS12" s="116">
        <f>+AQ12*'Global Inputs'!$F$30</f>
        <v>0.90114125368656406</v>
      </c>
      <c r="AT12" s="116">
        <f>AR12*'Global Inputs'!$F$33</f>
        <v>0</v>
      </c>
      <c r="AU12" s="116">
        <f>+AQ12*('Global Inputs'!$I$30-'Global Inputs'!$H$30)+'FS - Operational'!AR12*('Global Inputs'!$I$31-'Global Inputs'!$H$31)</f>
        <v>6.5473544213164411E-2</v>
      </c>
      <c r="AV12" s="256">
        <f>+AS12+AT12+AU12</f>
        <v>0.96661479789972848</v>
      </c>
      <c r="AW12" s="44"/>
      <c r="AX12" s="259">
        <f t="shared" ref="AX12:AX13" si="23">+$AX$5</f>
        <v>0.98</v>
      </c>
      <c r="AY12" s="259" t="s">
        <v>238</v>
      </c>
      <c r="AZ12" s="112">
        <f t="shared" ref="AZ12:BA16" si="24">IFERROR(SUM($K12,$L12)/AX12,0)</f>
        <v>17.815930398139976</v>
      </c>
      <c r="BA12" s="112">
        <f t="shared" si="24"/>
        <v>0</v>
      </c>
      <c r="BB12" s="116">
        <f>+AZ12*'Global Inputs'!$F$30</f>
        <v>2.8505488637023961</v>
      </c>
      <c r="BC12" s="116">
        <f>BA12*'Global Inputs'!$F$33</f>
        <v>0</v>
      </c>
      <c r="BD12" s="116">
        <f>+AZ12*('Global Inputs'!$I$30-'Global Inputs'!$H$30)+'FS - Operational'!BA12*('Global Inputs'!$I$31-'Global Inputs'!$H$31)</f>
        <v>0.20711019087837723</v>
      </c>
      <c r="BE12" s="256">
        <f>+BB12+BC12+BD12</f>
        <v>3.0576590545807734</v>
      </c>
      <c r="BF12" s="44"/>
      <c r="BG12" s="259">
        <f>+N12</f>
        <v>0</v>
      </c>
      <c r="BH12" s="259">
        <f>+O12</f>
        <v>0.75</v>
      </c>
      <c r="BI12" s="112">
        <f t="shared" ref="BI12:BJ16" si="25">IFERROR(SUM($K12,$L12)/BG12,0)</f>
        <v>0</v>
      </c>
      <c r="BJ12" s="112">
        <f t="shared" si="25"/>
        <v>23.279482386902902</v>
      </c>
      <c r="BK12" s="116">
        <f>+BI12*'Global Inputs'!$F$30</f>
        <v>0</v>
      </c>
      <c r="BL12" s="116">
        <f>BJ12*'Global Inputs'!$F$33</f>
        <v>4.4231016535115515</v>
      </c>
      <c r="BM12" s="116">
        <f>+BI12*('Global Inputs'!$I$30-'Global Inputs'!$H$30)+'FS - Operational'!BJ12*('Global Inputs'!$I$33-'Global Inputs'!$H$33)</f>
        <v>0.38660568963963754</v>
      </c>
      <c r="BN12" s="256">
        <f>+BK12+BL12+BM12</f>
        <v>4.8097073431511888</v>
      </c>
      <c r="BO12" s="44"/>
      <c r="BP12" s="256">
        <f>+U12</f>
        <v>1.957680834763265</v>
      </c>
      <c r="BQ12" s="44"/>
      <c r="BR12" s="256">
        <f>+AD12</f>
        <v>1.0701806691032709</v>
      </c>
      <c r="BS12" s="44"/>
      <c r="BT12" s="256">
        <f>+AM12</f>
        <v>1.0701806691032709</v>
      </c>
      <c r="BU12" s="44"/>
      <c r="BV12" s="256">
        <f>+AV12</f>
        <v>0.96661479789972848</v>
      </c>
      <c r="BW12" s="256">
        <f t="shared" ref="BW12:BW16" si="26">+BE12</f>
        <v>3.0576590545807734</v>
      </c>
      <c r="BX12" s="44"/>
      <c r="BY12" s="256">
        <f>+BN12</f>
        <v>4.8097073431511888</v>
      </c>
      <c r="BZ12" s="44"/>
    </row>
    <row r="13" spans="1:78" x14ac:dyDescent="0.3">
      <c r="A13" s="46" t="str">
        <f>IF('Building Typology'!A13=0," ",'Building Typology'!A13)</f>
        <v>High-rise hotel - gas boiler</v>
      </c>
      <c r="B13" s="44"/>
      <c r="C13" s="260">
        <f>+('Building Typology'!Q13-'Building Typology'!S13)*1000000/'Building Typology'!$E13</f>
        <v>-1.5014224204728377</v>
      </c>
      <c r="D13" s="111">
        <f>+('Building Typology'!S13)*1000000/'Building Typology'!$E13</f>
        <v>31.039309849203867</v>
      </c>
      <c r="E13" s="259">
        <v>0</v>
      </c>
      <c r="F13" s="259">
        <v>0.75</v>
      </c>
      <c r="G13" s="111">
        <f t="shared" si="14"/>
        <v>0</v>
      </c>
      <c r="H13" s="111">
        <f t="shared" si="15"/>
        <v>23.279482386902899</v>
      </c>
      <c r="I13" s="259">
        <v>0</v>
      </c>
      <c r="J13" s="259">
        <v>0.85</v>
      </c>
      <c r="K13" s="111">
        <f t="shared" si="16"/>
        <v>0</v>
      </c>
      <c r="L13" s="112">
        <f t="shared" si="16"/>
        <v>19.787560028867464</v>
      </c>
      <c r="M13" s="44"/>
      <c r="N13" s="259">
        <v>0</v>
      </c>
      <c r="O13" s="259">
        <v>0.75</v>
      </c>
      <c r="P13" s="112">
        <f t="shared" si="17"/>
        <v>0</v>
      </c>
      <c r="Q13" s="112">
        <f t="shared" si="17"/>
        <v>26.383413371823284</v>
      </c>
      <c r="R13" s="116">
        <f>+P13*'Global Inputs'!$F$30</f>
        <v>0</v>
      </c>
      <c r="S13" s="116">
        <f>Q13*'Global Inputs'!$F$31</f>
        <v>0.99187622427525068</v>
      </c>
      <c r="T13" s="116">
        <f>+P13*('Global Inputs'!$I$30-'Global Inputs'!$H$30)+'FS - Operational'!Q13*('Global Inputs'!$I$31-'Global Inputs'!$H$31)</f>
        <v>1.2268287217897826</v>
      </c>
      <c r="U13" s="256">
        <f>+R13+S13+T13</f>
        <v>2.2187049460650332</v>
      </c>
      <c r="V13" s="44"/>
      <c r="W13" s="259">
        <f>+$W$5</f>
        <v>2.8</v>
      </c>
      <c r="X13" s="259" t="str">
        <f>+AY13</f>
        <v>-</v>
      </c>
      <c r="Y13" s="112">
        <f t="shared" si="18"/>
        <v>7.066985724595523</v>
      </c>
      <c r="Z13" s="112">
        <f t="shared" si="18"/>
        <v>0</v>
      </c>
      <c r="AA13" s="116">
        <f>+Y13*'Global Inputs'!$F$30</f>
        <v>1.1307177159352837</v>
      </c>
      <c r="AB13" s="116">
        <f>Z13*'Global Inputs'!$F$33</f>
        <v>0</v>
      </c>
      <c r="AC13" s="116">
        <f>+Y13*('Global Inputs'!$I$30-'Global Inputs'!$H$30)+'FS - Operational'!Z13*('Global Inputs'!$I$31-'Global Inputs'!$H$31)</f>
        <v>8.2153709048422952E-2</v>
      </c>
      <c r="AD13" s="256">
        <f>+AA13+AB13+AC13</f>
        <v>1.2128714249837067</v>
      </c>
      <c r="AE13" s="44"/>
      <c r="AF13" s="259">
        <f>+$AF$5</f>
        <v>2.8</v>
      </c>
      <c r="AG13" s="259" t="str">
        <f t="shared" si="19"/>
        <v>-</v>
      </c>
      <c r="AH13" s="112">
        <f t="shared" si="20"/>
        <v>7.066985724595523</v>
      </c>
      <c r="AI13" s="112">
        <f t="shared" si="20"/>
        <v>0</v>
      </c>
      <c r="AJ13" s="116">
        <f>+AH13*'Global Inputs'!$F$30</f>
        <v>1.1307177159352837</v>
      </c>
      <c r="AK13" s="116">
        <f>AI13*'Global Inputs'!$F$33</f>
        <v>0</v>
      </c>
      <c r="AL13" s="116">
        <f>+AH13*('Global Inputs'!$I$30-'Global Inputs'!$H$30)+'FS - Operational'!AI13*('Global Inputs'!$I$31-'Global Inputs'!$H$31)</f>
        <v>8.2153709048422952E-2</v>
      </c>
      <c r="AM13" s="256">
        <f>+AJ13+AK13+AL13</f>
        <v>1.2128714249837067</v>
      </c>
      <c r="AN13" s="44"/>
      <c r="AO13" s="259">
        <f>+$AO$5</f>
        <v>3.1</v>
      </c>
      <c r="AP13" s="259" t="str">
        <f t="shared" si="21"/>
        <v>-</v>
      </c>
      <c r="AQ13" s="112">
        <f t="shared" si="22"/>
        <v>6.3830838802798269</v>
      </c>
      <c r="AR13" s="112">
        <f t="shared" si="22"/>
        <v>0</v>
      </c>
      <c r="AS13" s="116">
        <f>+AQ13*'Global Inputs'!$F$30</f>
        <v>1.0212934208447724</v>
      </c>
      <c r="AT13" s="116">
        <f>AR13*'Global Inputs'!$F$33</f>
        <v>0</v>
      </c>
      <c r="AU13" s="116">
        <f>+AQ13*('Global Inputs'!$I$30-'Global Inputs'!$H$30)+'FS - Operational'!AR13*('Global Inputs'!$I$31-'Global Inputs'!$H$31)</f>
        <v>7.4203350108252991E-2</v>
      </c>
      <c r="AV13" s="256">
        <f>+AS13+AT13+AU13</f>
        <v>1.0954967709530254</v>
      </c>
      <c r="AW13" s="44"/>
      <c r="AX13" s="259">
        <f t="shared" si="23"/>
        <v>0.98</v>
      </c>
      <c r="AY13" s="259" t="s">
        <v>238</v>
      </c>
      <c r="AZ13" s="112">
        <f t="shared" si="24"/>
        <v>20.191387784558636</v>
      </c>
      <c r="BA13" s="112">
        <f t="shared" si="24"/>
        <v>0</v>
      </c>
      <c r="BB13" s="116">
        <f>+AZ13*'Global Inputs'!$F$30</f>
        <v>3.2306220455293819</v>
      </c>
      <c r="BC13" s="116">
        <f>BA13*'Global Inputs'!$F$33</f>
        <v>0</v>
      </c>
      <c r="BD13" s="116">
        <f>+AZ13*('Global Inputs'!$I$30-'Global Inputs'!$H$30)+'FS - Operational'!BA13*('Global Inputs'!$I$31-'Global Inputs'!$H$31)</f>
        <v>0.23472488299549413</v>
      </c>
      <c r="BE13" s="256">
        <f>+BB13+BC13+BD13</f>
        <v>3.4653469285248759</v>
      </c>
      <c r="BF13" s="44"/>
      <c r="BG13" s="259">
        <f>+N13</f>
        <v>0</v>
      </c>
      <c r="BH13" s="259">
        <f>+O13</f>
        <v>0.75</v>
      </c>
      <c r="BI13" s="112">
        <f t="shared" si="25"/>
        <v>0</v>
      </c>
      <c r="BJ13" s="112">
        <f t="shared" si="25"/>
        <v>26.383413371823284</v>
      </c>
      <c r="BK13" s="116">
        <f>+BI13*'Global Inputs'!$F$30</f>
        <v>0</v>
      </c>
      <c r="BL13" s="116">
        <f>BJ13*'Global Inputs'!$F$33</f>
        <v>5.0128485406464245</v>
      </c>
      <c r="BM13" s="116">
        <f>+BI13*('Global Inputs'!$I$30-'Global Inputs'!$H$30)+'FS - Operational'!BJ13*('Global Inputs'!$I$33-'Global Inputs'!$H$33)</f>
        <v>0.43815311492492243</v>
      </c>
      <c r="BN13" s="256">
        <f>+BK13+BL13+BM13</f>
        <v>5.4510016555713472</v>
      </c>
      <c r="BO13" s="44"/>
      <c r="BP13" s="256">
        <f>+U13</f>
        <v>2.2187049460650332</v>
      </c>
      <c r="BQ13" s="44"/>
      <c r="BR13" s="256">
        <f>+AD13</f>
        <v>1.2128714249837067</v>
      </c>
      <c r="BS13" s="44"/>
      <c r="BT13" s="256">
        <f>+AM13</f>
        <v>1.2128714249837067</v>
      </c>
      <c r="BU13" s="44"/>
      <c r="BV13" s="256">
        <f>+AV13</f>
        <v>1.0954967709530254</v>
      </c>
      <c r="BW13" s="256">
        <f t="shared" si="26"/>
        <v>3.4653469285248759</v>
      </c>
      <c r="BX13" s="44"/>
      <c r="BY13" s="256">
        <f>+BN13</f>
        <v>5.4510016555713472</v>
      </c>
      <c r="BZ13" s="44"/>
    </row>
    <row r="14" spans="1:78" x14ac:dyDescent="0.3">
      <c r="A14" s="46" t="str">
        <f>IF('Building Typology'!A14=0," ",'Building Typology'!A14)</f>
        <v>High-rise hotel - electric</v>
      </c>
      <c r="B14" s="44"/>
      <c r="C14" s="111">
        <f>+('Building Typology'!Q14-'Building Typology'!S14)*1000000/'Building Typology'!$E14</f>
        <v>29.537887428731025</v>
      </c>
      <c r="D14" s="111">
        <f>+('Building Typology'!S14)*1000000/'Building Typology'!$E14</f>
        <v>0</v>
      </c>
      <c r="E14" s="259">
        <v>0.5</v>
      </c>
      <c r="F14" s="259">
        <v>0</v>
      </c>
      <c r="G14" s="111">
        <f t="shared" si="14"/>
        <v>14.768943714365513</v>
      </c>
      <c r="H14" s="111">
        <f t="shared" si="15"/>
        <v>0</v>
      </c>
      <c r="I14" s="259">
        <v>0.98</v>
      </c>
      <c r="J14" s="259">
        <v>0</v>
      </c>
      <c r="K14" s="111">
        <f t="shared" si="16"/>
        <v>14.473564840078202</v>
      </c>
      <c r="L14" s="112">
        <f t="shared" si="16"/>
        <v>0</v>
      </c>
      <c r="M14" s="44"/>
      <c r="N14" s="259">
        <v>0.98</v>
      </c>
      <c r="O14" s="259">
        <v>0</v>
      </c>
      <c r="P14" s="112">
        <f t="shared" si="17"/>
        <v>14.768943714365513</v>
      </c>
      <c r="Q14" s="112">
        <f t="shared" si="17"/>
        <v>0</v>
      </c>
      <c r="R14" s="116">
        <f>+P14*'Global Inputs'!$F$30</f>
        <v>2.363030994298482</v>
      </c>
      <c r="S14" s="116">
        <f>Q14*'Global Inputs'!$F$31</f>
        <v>0</v>
      </c>
      <c r="T14" s="116">
        <f>+P14*('Global Inputs'!$I$30-'Global Inputs'!$H$30)+'FS - Operational'!Q14*('Global Inputs'!$I$31-'Global Inputs'!$H$31)</f>
        <v>0.17168897067949909</v>
      </c>
      <c r="U14" s="256">
        <f>+R14+S14+T14</f>
        <v>2.534719964977981</v>
      </c>
      <c r="V14" s="44"/>
      <c r="W14" s="259" t="str">
        <f>+AX14</f>
        <v>na</v>
      </c>
      <c r="X14" s="259" t="str">
        <f>+AY14</f>
        <v>na</v>
      </c>
      <c r="Y14" s="112">
        <f t="shared" si="18"/>
        <v>0</v>
      </c>
      <c r="Z14" s="112">
        <f t="shared" si="18"/>
        <v>0</v>
      </c>
      <c r="AA14" s="116">
        <f>+Y14*'Global Inputs'!$F$30</f>
        <v>0</v>
      </c>
      <c r="AB14" s="116">
        <f>Z14*'Global Inputs'!$F$33</f>
        <v>0</v>
      </c>
      <c r="AC14" s="116">
        <f>+Y14*('Global Inputs'!$I$30-'Global Inputs'!$H$30)+'FS - Operational'!Z14*('Global Inputs'!$I$31-'Global Inputs'!$H$31)</f>
        <v>0</v>
      </c>
      <c r="AD14" s="256">
        <f>+AA14+AB14+AC14</f>
        <v>0</v>
      </c>
      <c r="AE14" s="44"/>
      <c r="AF14" s="259" t="str">
        <f t="shared" ref="AF14" si="27">+W14</f>
        <v>na</v>
      </c>
      <c r="AG14" s="259" t="str">
        <f t="shared" si="19"/>
        <v>na</v>
      </c>
      <c r="AH14" s="112">
        <f t="shared" si="20"/>
        <v>0</v>
      </c>
      <c r="AI14" s="112">
        <f t="shared" si="20"/>
        <v>0</v>
      </c>
      <c r="AJ14" s="116">
        <f>+AH14*'Global Inputs'!$F$30</f>
        <v>0</v>
      </c>
      <c r="AK14" s="116">
        <f>AI14*'Global Inputs'!$F$33</f>
        <v>0</v>
      </c>
      <c r="AL14" s="116">
        <f>+AH14*('Global Inputs'!$I$30-'Global Inputs'!$H$30)+'FS - Operational'!AI14*('Global Inputs'!$I$31-'Global Inputs'!$H$31)</f>
        <v>0</v>
      </c>
      <c r="AM14" s="256">
        <f>+AJ14+AK14+AL14</f>
        <v>0</v>
      </c>
      <c r="AN14" s="44"/>
      <c r="AO14" s="259" t="str">
        <f t="shared" ref="AO14" si="28">+AF14</f>
        <v>na</v>
      </c>
      <c r="AP14" s="259" t="str">
        <f t="shared" si="21"/>
        <v>na</v>
      </c>
      <c r="AQ14" s="112">
        <f t="shared" si="22"/>
        <v>0</v>
      </c>
      <c r="AR14" s="112">
        <f t="shared" si="22"/>
        <v>0</v>
      </c>
      <c r="AS14" s="116">
        <f>+AQ14*'Global Inputs'!$F$30</f>
        <v>0</v>
      </c>
      <c r="AT14" s="116">
        <f>AR14*'Global Inputs'!$F$33</f>
        <v>0</v>
      </c>
      <c r="AU14" s="116">
        <f>+AQ14*('Global Inputs'!$I$30-'Global Inputs'!$H$30)+'FS - Operational'!AR14*('Global Inputs'!$I$31-'Global Inputs'!$H$31)</f>
        <v>0</v>
      </c>
      <c r="AV14" s="256">
        <f>+AS14+AT14+AU14</f>
        <v>0</v>
      </c>
      <c r="AW14" s="44"/>
      <c r="AX14" s="259" t="str">
        <f>+BG14</f>
        <v>na</v>
      </c>
      <c r="AY14" s="259" t="str">
        <f>+BH14</f>
        <v>na</v>
      </c>
      <c r="AZ14" s="112">
        <f t="shared" si="24"/>
        <v>0</v>
      </c>
      <c r="BA14" s="112">
        <f t="shared" si="24"/>
        <v>0</v>
      </c>
      <c r="BB14" s="116">
        <f>+AZ14*'Global Inputs'!$F$30</f>
        <v>0</v>
      </c>
      <c r="BC14" s="116">
        <f>BA14*'Global Inputs'!$F$33</f>
        <v>0</v>
      </c>
      <c r="BD14" s="116">
        <f>+AZ14*('Global Inputs'!$I$30-'Global Inputs'!$H$30)+'FS - Operational'!BA14*('Global Inputs'!$I$31-'Global Inputs'!$H$31)</f>
        <v>0</v>
      </c>
      <c r="BE14" s="256">
        <f>+BB14+BC14+BD14</f>
        <v>0</v>
      </c>
      <c r="BF14" s="44"/>
      <c r="BG14" s="259" t="s">
        <v>393</v>
      </c>
      <c r="BH14" s="259" t="s">
        <v>393</v>
      </c>
      <c r="BI14" s="112">
        <f t="shared" si="25"/>
        <v>0</v>
      </c>
      <c r="BJ14" s="112">
        <f t="shared" si="25"/>
        <v>0</v>
      </c>
      <c r="BK14" s="116">
        <f>+BI14*'Global Inputs'!$F$30</f>
        <v>0</v>
      </c>
      <c r="BL14" s="116">
        <f>BJ14*'Global Inputs'!$F$33</f>
        <v>0</v>
      </c>
      <c r="BM14" s="116">
        <f>+BI14*('Global Inputs'!$I$30-'Global Inputs'!$H$30)+'FS - Operational'!BJ14*('Global Inputs'!$I$33-'Global Inputs'!$H$33)</f>
        <v>0</v>
      </c>
      <c r="BN14" s="256">
        <f>+BK14+BL14+BM14</f>
        <v>0</v>
      </c>
      <c r="BO14" s="44"/>
      <c r="BP14" s="256">
        <f>+U14</f>
        <v>2.534719964977981</v>
      </c>
      <c r="BQ14" s="44"/>
      <c r="BR14" s="256">
        <f>+AD14</f>
        <v>0</v>
      </c>
      <c r="BS14" s="44"/>
      <c r="BT14" s="256">
        <f>+AM14</f>
        <v>0</v>
      </c>
      <c r="BU14" s="44"/>
      <c r="BV14" s="256">
        <f>+AV14</f>
        <v>0</v>
      </c>
      <c r="BW14" s="256">
        <f t="shared" si="26"/>
        <v>0</v>
      </c>
      <c r="BX14" s="44"/>
      <c r="BY14" s="256">
        <f>+BN14</f>
        <v>0</v>
      </c>
      <c r="BZ14" s="44"/>
    </row>
    <row r="15" spans="1:78" x14ac:dyDescent="0.3">
      <c r="A15" s="46" t="str">
        <f>IF('Building Typology'!A15=0," ",'Building Typology'!A15)</f>
        <v>Standalone retail</v>
      </c>
      <c r="B15" s="44"/>
      <c r="C15" s="260">
        <f>+('Building Typology'!Q15-'Building Typology'!S15)*1000000/'Building Typology'!$E15</f>
        <v>-8.7912215615378724</v>
      </c>
      <c r="D15" s="111">
        <f>+('Building Typology'!S15)*1000000/'Building Typology'!$E15</f>
        <v>31.039309849203871</v>
      </c>
      <c r="E15" s="259">
        <v>0</v>
      </c>
      <c r="F15" s="259">
        <v>1</v>
      </c>
      <c r="G15" s="111">
        <f t="shared" si="14"/>
        <v>0</v>
      </c>
      <c r="H15" s="111">
        <f t="shared" si="15"/>
        <v>31.039309849203871</v>
      </c>
      <c r="I15" s="259">
        <v>0</v>
      </c>
      <c r="J15" s="259">
        <v>0.75</v>
      </c>
      <c r="K15" s="111">
        <f t="shared" si="16"/>
        <v>0</v>
      </c>
      <c r="L15" s="112">
        <f t="shared" si="16"/>
        <v>23.279482386902902</v>
      </c>
      <c r="M15" s="44"/>
      <c r="N15" s="259">
        <v>0</v>
      </c>
      <c r="O15" s="259">
        <v>0.75</v>
      </c>
      <c r="P15" s="112">
        <f t="shared" si="17"/>
        <v>0</v>
      </c>
      <c r="Q15" s="112">
        <f t="shared" si="17"/>
        <v>31.039309849203871</v>
      </c>
      <c r="R15" s="116">
        <f>+P15*'Global Inputs'!$F$30</f>
        <v>0</v>
      </c>
      <c r="S15" s="116">
        <f>Q15*'Global Inputs'!$F$31</f>
        <v>1.1669132050297071</v>
      </c>
      <c r="T15" s="116">
        <f>+P15*('Global Inputs'!$I$30-'Global Inputs'!$H$30)+'FS - Operational'!Q15*('Global Inputs'!$I$31-'Global Inputs'!$H$31)</f>
        <v>1.4433279079879799</v>
      </c>
      <c r="U15" s="256">
        <f>+R15+S15+T15</f>
        <v>2.610241113017687</v>
      </c>
      <c r="V15" s="44"/>
      <c r="W15" s="259">
        <f>+$W$5</f>
        <v>2.8</v>
      </c>
      <c r="X15" s="259" t="str">
        <f>+AY15</f>
        <v>-</v>
      </c>
      <c r="Y15" s="112">
        <f t="shared" si="18"/>
        <v>8.314100852465323</v>
      </c>
      <c r="Z15" s="112">
        <f t="shared" si="18"/>
        <v>0</v>
      </c>
      <c r="AA15" s="116">
        <f>+Y15*'Global Inputs'!$F$30</f>
        <v>1.3302561363944516</v>
      </c>
      <c r="AB15" s="116">
        <f>Z15*'Global Inputs'!$F$33</f>
        <v>0</v>
      </c>
      <c r="AC15" s="116">
        <f>+Y15*('Global Inputs'!$I$30-'Global Inputs'!$H$30)+'FS - Operational'!Z15*('Global Inputs'!$I$31-'Global Inputs'!$H$31)</f>
        <v>9.6651422409909385E-2</v>
      </c>
      <c r="AD15" s="256">
        <f>+AA15+AB15+AC15</f>
        <v>1.4269075588043609</v>
      </c>
      <c r="AE15" s="44"/>
      <c r="AF15" s="259">
        <f>+$AF$5</f>
        <v>2.8</v>
      </c>
      <c r="AG15" s="259" t="str">
        <f t="shared" si="19"/>
        <v>-</v>
      </c>
      <c r="AH15" s="112">
        <f t="shared" si="20"/>
        <v>8.314100852465323</v>
      </c>
      <c r="AI15" s="112">
        <f t="shared" si="20"/>
        <v>0</v>
      </c>
      <c r="AJ15" s="116">
        <f>+AH15*'Global Inputs'!$F$30</f>
        <v>1.3302561363944516</v>
      </c>
      <c r="AK15" s="116">
        <f>AI15*'Global Inputs'!$F$33</f>
        <v>0</v>
      </c>
      <c r="AL15" s="116">
        <f>+AH15*('Global Inputs'!$I$30-'Global Inputs'!$H$30)+'FS - Operational'!AI15*('Global Inputs'!$I$31-'Global Inputs'!$H$31)</f>
        <v>9.6651422409909385E-2</v>
      </c>
      <c r="AM15" s="256">
        <f>+AJ15+AK15+AL15</f>
        <v>1.4269075588043609</v>
      </c>
      <c r="AN15" s="44"/>
      <c r="AO15" s="259">
        <f>+$AO$5</f>
        <v>3.1</v>
      </c>
      <c r="AP15" s="259" t="str">
        <f t="shared" si="21"/>
        <v>-</v>
      </c>
      <c r="AQ15" s="112">
        <f t="shared" si="22"/>
        <v>7.509510447388033</v>
      </c>
      <c r="AR15" s="112">
        <f t="shared" si="22"/>
        <v>0</v>
      </c>
      <c r="AS15" s="116">
        <f>+AQ15*'Global Inputs'!$F$30</f>
        <v>1.2015216715820853</v>
      </c>
      <c r="AT15" s="116">
        <f>AR15*'Global Inputs'!$F$33</f>
        <v>0</v>
      </c>
      <c r="AU15" s="116">
        <f>+AQ15*('Global Inputs'!$I$30-'Global Inputs'!$H$30)+'FS - Operational'!AR15*('Global Inputs'!$I$31-'Global Inputs'!$H$31)</f>
        <v>8.7298058950885882E-2</v>
      </c>
      <c r="AV15" s="256">
        <f>+AS15+AT15+AU15</f>
        <v>1.2888197305329712</v>
      </c>
      <c r="AW15" s="44"/>
      <c r="AX15" s="259">
        <f t="shared" ref="AX15:AX16" si="29">+$AX$5</f>
        <v>0.98</v>
      </c>
      <c r="AY15" s="259" t="s">
        <v>238</v>
      </c>
      <c r="AZ15" s="112">
        <f t="shared" si="24"/>
        <v>23.754573864186636</v>
      </c>
      <c r="BA15" s="112">
        <f t="shared" si="24"/>
        <v>0</v>
      </c>
      <c r="BB15" s="116">
        <f>+AZ15*'Global Inputs'!$F$30</f>
        <v>3.800731818269862</v>
      </c>
      <c r="BC15" s="116">
        <f>BA15*'Global Inputs'!$F$33</f>
        <v>0</v>
      </c>
      <c r="BD15" s="116">
        <f>+AZ15*('Global Inputs'!$I$30-'Global Inputs'!$H$30)+'FS - Operational'!BA15*('Global Inputs'!$I$31-'Global Inputs'!$H$31)</f>
        <v>0.27614692117116962</v>
      </c>
      <c r="BE15" s="256">
        <f>+BB15+BC15+BD15</f>
        <v>4.0768787394410317</v>
      </c>
      <c r="BF15" s="44"/>
      <c r="BG15" s="259">
        <f>+N15</f>
        <v>0</v>
      </c>
      <c r="BH15" s="259">
        <f>+O15</f>
        <v>0.75</v>
      </c>
      <c r="BI15" s="112">
        <f t="shared" si="25"/>
        <v>0</v>
      </c>
      <c r="BJ15" s="112">
        <f t="shared" si="25"/>
        <v>31.039309849203871</v>
      </c>
      <c r="BK15" s="116">
        <f>+BI15*'Global Inputs'!$F$30</f>
        <v>0</v>
      </c>
      <c r="BL15" s="116">
        <f>BJ15*'Global Inputs'!$F$33</f>
        <v>5.8974688713487353</v>
      </c>
      <c r="BM15" s="116">
        <f>+BI15*('Global Inputs'!$I$30-'Global Inputs'!$H$30)+'FS - Operational'!BJ15*('Global Inputs'!$I$33-'Global Inputs'!$H$33)</f>
        <v>0.51547425285285009</v>
      </c>
      <c r="BN15" s="256">
        <f>+BK15+BL15+BM15</f>
        <v>6.4129431242015853</v>
      </c>
      <c r="BO15" s="44"/>
      <c r="BP15" s="256">
        <f>+U15</f>
        <v>2.610241113017687</v>
      </c>
      <c r="BQ15" s="44"/>
      <c r="BR15" s="256">
        <f>+AD15</f>
        <v>1.4269075588043609</v>
      </c>
      <c r="BS15" s="44"/>
      <c r="BT15" s="256">
        <f>+AM15</f>
        <v>1.4269075588043609</v>
      </c>
      <c r="BU15" s="44"/>
      <c r="BV15" s="256">
        <f>+AV15</f>
        <v>1.2888197305329712</v>
      </c>
      <c r="BW15" s="256">
        <f t="shared" si="26"/>
        <v>4.0768787394410317</v>
      </c>
      <c r="BX15" s="44"/>
      <c r="BY15" s="256">
        <f>+BN15</f>
        <v>6.4129431242015853</v>
      </c>
      <c r="BZ15" s="44"/>
    </row>
    <row r="16" spans="1:78" x14ac:dyDescent="0.3">
      <c r="A16" s="46" t="str">
        <f>IF('Building Typology'!A16=0," ",'Building Typology'!A16)</f>
        <v>Mall retail</v>
      </c>
      <c r="B16" s="44"/>
      <c r="C16" s="111">
        <f>+('Building Typology'!Q16-'Building Typology'!S16)*1000000/'Building Typology'!$E16</f>
        <v>1.3387590630589898</v>
      </c>
      <c r="D16" s="111">
        <f>+('Building Typology'!S16)*1000000/'Building Typology'!$E16</f>
        <v>31.039309849203867</v>
      </c>
      <c r="E16" s="259">
        <v>0</v>
      </c>
      <c r="F16" s="259">
        <v>1</v>
      </c>
      <c r="G16" s="111">
        <f t="shared" si="14"/>
        <v>0</v>
      </c>
      <c r="H16" s="111">
        <f t="shared" si="15"/>
        <v>31.039309849203867</v>
      </c>
      <c r="I16" s="259">
        <v>0</v>
      </c>
      <c r="J16" s="259">
        <v>0.75</v>
      </c>
      <c r="K16" s="111">
        <f t="shared" si="16"/>
        <v>0</v>
      </c>
      <c r="L16" s="112">
        <f t="shared" si="16"/>
        <v>23.279482386902899</v>
      </c>
      <c r="M16" s="44"/>
      <c r="N16" s="259">
        <v>0</v>
      </c>
      <c r="O16" s="259">
        <v>0.75</v>
      </c>
      <c r="P16" s="112">
        <f t="shared" si="17"/>
        <v>0</v>
      </c>
      <c r="Q16" s="112">
        <f t="shared" si="17"/>
        <v>31.039309849203864</v>
      </c>
      <c r="R16" s="116">
        <f>+P16*'Global Inputs'!$F$30</f>
        <v>0</v>
      </c>
      <c r="S16" s="116">
        <f>Q16*'Global Inputs'!$F$31</f>
        <v>1.1669132050297066</v>
      </c>
      <c r="T16" s="116">
        <f>+P16*('Global Inputs'!$I$30-'Global Inputs'!$H$30)+'FS - Operational'!Q16*('Global Inputs'!$I$31-'Global Inputs'!$H$31)</f>
        <v>1.4433279079879797</v>
      </c>
      <c r="U16" s="256">
        <f>+R16+S16+T16</f>
        <v>2.6102411130176861</v>
      </c>
      <c r="V16" s="44"/>
      <c r="W16" s="259">
        <f>+$W$5</f>
        <v>2.8</v>
      </c>
      <c r="X16" s="259" t="str">
        <f>+AY16</f>
        <v>-</v>
      </c>
      <c r="Y16" s="112">
        <f t="shared" si="18"/>
        <v>8.3141008524653213</v>
      </c>
      <c r="Z16" s="112">
        <f t="shared" si="18"/>
        <v>0</v>
      </c>
      <c r="AA16" s="116">
        <f>+Y16*'Global Inputs'!$F$30</f>
        <v>1.3302561363944514</v>
      </c>
      <c r="AB16" s="116">
        <f>Z16*'Global Inputs'!$F$33</f>
        <v>0</v>
      </c>
      <c r="AC16" s="116">
        <f>+Y16*('Global Inputs'!$I$30-'Global Inputs'!$H$30)+'FS - Operational'!Z16*('Global Inputs'!$I$31-'Global Inputs'!$H$31)</f>
        <v>9.6651422409909357E-2</v>
      </c>
      <c r="AD16" s="256">
        <f>+AA16+AB16+AC16</f>
        <v>1.4269075588043607</v>
      </c>
      <c r="AE16" s="44"/>
      <c r="AF16" s="259">
        <f>+$AF$5</f>
        <v>2.8</v>
      </c>
      <c r="AG16" s="259" t="str">
        <f t="shared" si="19"/>
        <v>-</v>
      </c>
      <c r="AH16" s="112">
        <f t="shared" si="20"/>
        <v>8.3141008524653213</v>
      </c>
      <c r="AI16" s="112">
        <f t="shared" si="20"/>
        <v>0</v>
      </c>
      <c r="AJ16" s="116">
        <f>+AH16*'Global Inputs'!$F$30</f>
        <v>1.3302561363944514</v>
      </c>
      <c r="AK16" s="116">
        <f>AI16*'Global Inputs'!$F$33</f>
        <v>0</v>
      </c>
      <c r="AL16" s="116">
        <f>+AH16*('Global Inputs'!$I$30-'Global Inputs'!$H$30)+'FS - Operational'!AI16*('Global Inputs'!$I$31-'Global Inputs'!$H$31)</f>
        <v>9.6651422409909357E-2</v>
      </c>
      <c r="AM16" s="256">
        <f>+AJ16+AK16+AL16</f>
        <v>1.4269075588043607</v>
      </c>
      <c r="AN16" s="44"/>
      <c r="AO16" s="259">
        <f>+$AO$5</f>
        <v>3.1</v>
      </c>
      <c r="AP16" s="259" t="str">
        <f t="shared" si="21"/>
        <v>-</v>
      </c>
      <c r="AQ16" s="112">
        <f t="shared" si="22"/>
        <v>7.5095104473880321</v>
      </c>
      <c r="AR16" s="112">
        <f t="shared" si="22"/>
        <v>0</v>
      </c>
      <c r="AS16" s="116">
        <f>+AQ16*'Global Inputs'!$F$30</f>
        <v>1.2015216715820851</v>
      </c>
      <c r="AT16" s="116">
        <f>AR16*'Global Inputs'!$F$33</f>
        <v>0</v>
      </c>
      <c r="AU16" s="116">
        <f>+AQ16*('Global Inputs'!$I$30-'Global Inputs'!$H$30)+'FS - Operational'!AR16*('Global Inputs'!$I$31-'Global Inputs'!$H$31)</f>
        <v>8.7298058950885868E-2</v>
      </c>
      <c r="AV16" s="256">
        <f>+AS16+AT16+AU16</f>
        <v>1.2888197305329709</v>
      </c>
      <c r="AW16" s="44"/>
      <c r="AX16" s="259">
        <f t="shared" si="29"/>
        <v>0.98</v>
      </c>
      <c r="AY16" s="259" t="s">
        <v>238</v>
      </c>
      <c r="AZ16" s="112">
        <f t="shared" si="24"/>
        <v>23.754573864186632</v>
      </c>
      <c r="BA16" s="112">
        <f t="shared" si="24"/>
        <v>0</v>
      </c>
      <c r="BB16" s="116">
        <f>+AZ16*'Global Inputs'!$F$30</f>
        <v>3.8007318182698611</v>
      </c>
      <c r="BC16" s="116">
        <f>BA16*'Global Inputs'!$F$33</f>
        <v>0</v>
      </c>
      <c r="BD16" s="116">
        <f>+AZ16*('Global Inputs'!$I$30-'Global Inputs'!$H$30)+'FS - Operational'!BA16*('Global Inputs'!$I$31-'Global Inputs'!$H$31)</f>
        <v>0.27614692117116962</v>
      </c>
      <c r="BE16" s="256">
        <f>+BB16+BC16+BD16</f>
        <v>4.0768787394410309</v>
      </c>
      <c r="BF16" s="44"/>
      <c r="BG16" s="259">
        <f>+N16</f>
        <v>0</v>
      </c>
      <c r="BH16" s="259">
        <f>+O16</f>
        <v>0.75</v>
      </c>
      <c r="BI16" s="112">
        <f t="shared" si="25"/>
        <v>0</v>
      </c>
      <c r="BJ16" s="112">
        <f t="shared" si="25"/>
        <v>31.039309849203864</v>
      </c>
      <c r="BK16" s="116">
        <f>+BI16*'Global Inputs'!$F$30</f>
        <v>0</v>
      </c>
      <c r="BL16" s="116">
        <f>BJ16*'Global Inputs'!$F$33</f>
        <v>5.8974688713487344</v>
      </c>
      <c r="BM16" s="116">
        <f>+BI16*('Global Inputs'!$I$30-'Global Inputs'!$H$30)+'FS - Operational'!BJ16*('Global Inputs'!$I$33-'Global Inputs'!$H$33)</f>
        <v>0.51547425285284998</v>
      </c>
      <c r="BN16" s="256">
        <f>+BK16+BL16+BM16</f>
        <v>6.4129431242015844</v>
      </c>
      <c r="BO16" s="44"/>
      <c r="BP16" s="256">
        <f>+U16</f>
        <v>2.6102411130176861</v>
      </c>
      <c r="BQ16" s="44"/>
      <c r="BR16" s="256">
        <f>+AD16</f>
        <v>1.4269075588043607</v>
      </c>
      <c r="BS16" s="44"/>
      <c r="BT16" s="256">
        <f>+AM16</f>
        <v>1.4269075588043607</v>
      </c>
      <c r="BU16" s="44"/>
      <c r="BV16" s="256">
        <f>+AV16</f>
        <v>1.2888197305329709</v>
      </c>
      <c r="BW16" s="256">
        <f t="shared" si="26"/>
        <v>4.0768787394410309</v>
      </c>
      <c r="BX16" s="44"/>
      <c r="BY16" s="256">
        <f>+BN16</f>
        <v>6.4129431242015844</v>
      </c>
      <c r="BZ16" s="44"/>
    </row>
    <row r="17" spans="1:78" x14ac:dyDescent="0.3">
      <c r="A17" s="44" t="str">
        <f>IF('Building Typology'!A17=0," ",'Building Typology'!A17)</f>
        <v xml:space="preserve"> </v>
      </c>
      <c r="B17" s="44"/>
      <c r="C17" s="113"/>
      <c r="D17" s="113"/>
      <c r="E17" s="261"/>
      <c r="F17" s="261"/>
      <c r="G17" s="113"/>
      <c r="H17" s="113"/>
      <c r="I17" s="261"/>
      <c r="J17" s="261"/>
      <c r="K17" s="113"/>
      <c r="L17" s="113"/>
      <c r="M17" s="44"/>
      <c r="N17" s="261"/>
      <c r="O17" s="261"/>
      <c r="P17" s="113"/>
      <c r="Q17" s="113"/>
      <c r="R17" s="113"/>
      <c r="S17" s="113"/>
      <c r="T17" s="113"/>
      <c r="U17" s="257"/>
      <c r="V17" s="44"/>
      <c r="W17" s="261"/>
      <c r="X17" s="261"/>
      <c r="Y17" s="113"/>
      <c r="Z17" s="113"/>
      <c r="AA17" s="113"/>
      <c r="AB17" s="113"/>
      <c r="AC17" s="113"/>
      <c r="AD17" s="257"/>
      <c r="AE17" s="44"/>
      <c r="AF17" s="261"/>
      <c r="AG17" s="261"/>
      <c r="AH17" s="113"/>
      <c r="AI17" s="113"/>
      <c r="AJ17" s="113"/>
      <c r="AK17" s="113"/>
      <c r="AL17" s="113"/>
      <c r="AM17" s="257"/>
      <c r="AN17" s="44"/>
      <c r="AO17" s="261"/>
      <c r="AP17" s="261"/>
      <c r="AQ17" s="113"/>
      <c r="AR17" s="113"/>
      <c r="AS17" s="113"/>
      <c r="AT17" s="113"/>
      <c r="AU17" s="113"/>
      <c r="AV17" s="257"/>
      <c r="AW17" s="44"/>
      <c r="AX17" s="261"/>
      <c r="AY17" s="261"/>
      <c r="AZ17" s="113"/>
      <c r="BA17" s="113"/>
      <c r="BB17" s="113"/>
      <c r="BC17" s="113"/>
      <c r="BD17" s="113"/>
      <c r="BE17" s="257"/>
      <c r="BF17" s="44"/>
      <c r="BG17" s="261"/>
      <c r="BH17" s="261"/>
      <c r="BI17" s="113"/>
      <c r="BJ17" s="113"/>
      <c r="BK17" s="113"/>
      <c r="BL17" s="113"/>
      <c r="BM17" s="113"/>
      <c r="BN17" s="257"/>
      <c r="BO17" s="44"/>
      <c r="BP17" s="113"/>
      <c r="BQ17" s="44"/>
      <c r="BR17" s="113"/>
      <c r="BS17" s="44"/>
      <c r="BT17" s="113"/>
      <c r="BU17" s="44"/>
      <c r="BV17" s="113"/>
      <c r="BW17" s="113"/>
      <c r="BX17" s="44"/>
      <c r="BY17" s="113"/>
      <c r="BZ17" s="44"/>
    </row>
    <row r="18" spans="1:78" ht="16.5" x14ac:dyDescent="0.3">
      <c r="A18" s="98" t="str">
        <f>IF('Building Typology'!A18=0," ",'Building Typology'!A18)</f>
        <v>MULTI-UNIT RESIDENTIAL</v>
      </c>
      <c r="B18" s="44"/>
      <c r="C18" s="115"/>
      <c r="D18" s="115"/>
      <c r="E18" s="96"/>
      <c r="F18" s="96"/>
      <c r="G18" s="115"/>
      <c r="H18" s="115"/>
      <c r="I18" s="96"/>
      <c r="J18" s="96"/>
      <c r="K18" s="115"/>
      <c r="L18" s="115"/>
      <c r="M18" s="44"/>
      <c r="N18" s="96"/>
      <c r="O18" s="96"/>
      <c r="P18" s="115"/>
      <c r="Q18" s="115"/>
      <c r="R18" s="115"/>
      <c r="S18" s="115"/>
      <c r="T18" s="115"/>
      <c r="U18" s="258"/>
      <c r="V18" s="44"/>
      <c r="W18" s="96"/>
      <c r="X18" s="96"/>
      <c r="Y18" s="115"/>
      <c r="Z18" s="115"/>
      <c r="AA18" s="115"/>
      <c r="AB18" s="115"/>
      <c r="AC18" s="115"/>
      <c r="AD18" s="258"/>
      <c r="AE18" s="44"/>
      <c r="AF18" s="96"/>
      <c r="AG18" s="96"/>
      <c r="AH18" s="115"/>
      <c r="AI18" s="115"/>
      <c r="AJ18" s="115"/>
      <c r="AK18" s="115"/>
      <c r="AL18" s="115"/>
      <c r="AM18" s="258"/>
      <c r="AN18" s="44"/>
      <c r="AO18" s="96"/>
      <c r="AP18" s="96"/>
      <c r="AQ18" s="115"/>
      <c r="AR18" s="115"/>
      <c r="AS18" s="115"/>
      <c r="AT18" s="115"/>
      <c r="AU18" s="115"/>
      <c r="AV18" s="258"/>
      <c r="AW18" s="44"/>
      <c r="AX18" s="96"/>
      <c r="AY18" s="96"/>
      <c r="AZ18" s="115"/>
      <c r="BA18" s="115"/>
      <c r="BB18" s="115"/>
      <c r="BC18" s="115"/>
      <c r="BD18" s="115"/>
      <c r="BE18" s="258"/>
      <c r="BF18" s="44"/>
      <c r="BG18" s="96"/>
      <c r="BH18" s="96"/>
      <c r="BI18" s="115"/>
      <c r="BJ18" s="115"/>
      <c r="BK18" s="115"/>
      <c r="BL18" s="115"/>
      <c r="BM18" s="115"/>
      <c r="BN18" s="258"/>
      <c r="BO18" s="44"/>
      <c r="BP18" s="115"/>
      <c r="BQ18" s="44"/>
      <c r="BR18" s="115"/>
      <c r="BS18" s="44"/>
      <c r="BT18" s="115"/>
      <c r="BU18" s="44"/>
      <c r="BV18" s="115"/>
      <c r="BW18" s="115"/>
      <c r="BX18" s="44"/>
      <c r="BY18" s="115"/>
      <c r="BZ18" s="44"/>
    </row>
    <row r="19" spans="1:78" x14ac:dyDescent="0.3">
      <c r="A19" s="46" t="str">
        <f>IF('Building Typology'!A19=0," ",'Building Typology'!A19)</f>
        <v>Pre-2004 apartment - gas boiler</v>
      </c>
      <c r="B19" s="44"/>
      <c r="C19" s="111">
        <f>+('Building Typology'!Q19-'Building Typology'!S19)*1000000/'Building Typology'!$E19</f>
        <v>9.9385214282329724</v>
      </c>
      <c r="D19" s="111">
        <f>+('Building Typology'!S19)*1000000/'Building Typology'!$E19</f>
        <v>11.745525324275327</v>
      </c>
      <c r="E19" s="259">
        <v>0</v>
      </c>
      <c r="F19" s="259">
        <v>1</v>
      </c>
      <c r="G19" s="111">
        <f t="shared" ref="G19:G20" si="30">+C19*E19</f>
        <v>0</v>
      </c>
      <c r="H19" s="111">
        <f t="shared" ref="H19:H20" si="31">+D19*F19</f>
        <v>11.745525324275327</v>
      </c>
      <c r="I19" s="259">
        <v>0</v>
      </c>
      <c r="J19" s="259">
        <v>0.85</v>
      </c>
      <c r="K19" s="111">
        <f>+G19*I19</f>
        <v>0</v>
      </c>
      <c r="L19" s="112">
        <f>+H19*J19</f>
        <v>9.9836965256340271</v>
      </c>
      <c r="M19" s="44"/>
      <c r="N19" s="259">
        <v>0</v>
      </c>
      <c r="O19" s="259">
        <v>0.85</v>
      </c>
      <c r="P19" s="112">
        <f>IFERROR(SUM($K19,$L19)/N19,0)</f>
        <v>0</v>
      </c>
      <c r="Q19" s="112">
        <f>IFERROR(SUM($K19,$L19)/O19,0)</f>
        <v>11.745525324275325</v>
      </c>
      <c r="R19" s="116">
        <f>+P19*'Global Inputs'!$F$30</f>
        <v>0</v>
      </c>
      <c r="S19" s="116">
        <f>Q19*'Global Inputs'!$F$31</f>
        <v>0.44156937340084751</v>
      </c>
      <c r="T19" s="116">
        <f>+P19*('Global Inputs'!$I$30-'Global Inputs'!$H$30)+'FS - Operational'!Q19*('Global Inputs'!$I$31-'Global Inputs'!$H$31)</f>
        <v>0.54616692757880259</v>
      </c>
      <c r="U19" s="256">
        <f>+R19+S19+T19</f>
        <v>0.98773630097965004</v>
      </c>
      <c r="V19" s="44"/>
      <c r="W19" s="259">
        <f>+$W$5</f>
        <v>2.8</v>
      </c>
      <c r="X19" s="259" t="str">
        <f>+AY19</f>
        <v>-</v>
      </c>
      <c r="Y19" s="112">
        <f>IFERROR(SUM($K19,$L19)/W19,0)</f>
        <v>3.5656059020121527</v>
      </c>
      <c r="Z19" s="112">
        <f>IFERROR(SUM($K19,$L19)/X19,0)</f>
        <v>0</v>
      </c>
      <c r="AA19" s="116">
        <f>+Y19*'Global Inputs'!$F$30</f>
        <v>0.57049694432194442</v>
      </c>
      <c r="AB19" s="116">
        <f>Z19*'Global Inputs'!$F$33</f>
        <v>0</v>
      </c>
      <c r="AC19" s="116">
        <f>+Y19*('Global Inputs'!$I$30-'Global Inputs'!$H$30)+'FS - Operational'!Z19*('Global Inputs'!$I$31-'Global Inputs'!$H$31)</f>
        <v>4.1450168610891278E-2</v>
      </c>
      <c r="AD19" s="256">
        <f>+AA19+AB19+AC19</f>
        <v>0.61194711293283566</v>
      </c>
      <c r="AE19" s="44"/>
      <c r="AF19" s="259">
        <f>+$AF$5</f>
        <v>2.8</v>
      </c>
      <c r="AG19" s="259" t="str">
        <f t="shared" ref="AG19:AG20" si="32">+X19</f>
        <v>-</v>
      </c>
      <c r="AH19" s="112">
        <f>IFERROR(SUM($K19,$L19)/AF19,0)</f>
        <v>3.5656059020121527</v>
      </c>
      <c r="AI19" s="112">
        <f>IFERROR(SUM($K19,$L19)/AG19,0)</f>
        <v>0</v>
      </c>
      <c r="AJ19" s="116">
        <f>+AH19*'Global Inputs'!$F$30</f>
        <v>0.57049694432194442</v>
      </c>
      <c r="AK19" s="116">
        <f>AI19*'Global Inputs'!$F$33</f>
        <v>0</v>
      </c>
      <c r="AL19" s="116">
        <f>+AH19*('Global Inputs'!$I$30-'Global Inputs'!$H$30)+'FS - Operational'!AI19*('Global Inputs'!$I$31-'Global Inputs'!$H$31)</f>
        <v>4.1450168610891278E-2</v>
      </c>
      <c r="AM19" s="256">
        <f>+AJ19+AK19+AL19</f>
        <v>0.61194711293283566</v>
      </c>
      <c r="AN19" s="44"/>
      <c r="AO19" s="259">
        <f>+$AO$5</f>
        <v>3.1</v>
      </c>
      <c r="AP19" s="259" t="str">
        <f t="shared" ref="AP19:AP20" si="33">+AG19</f>
        <v>-</v>
      </c>
      <c r="AQ19" s="112">
        <f>IFERROR(SUM($K19,$L19)/AO19,0)</f>
        <v>3.2205472663335573</v>
      </c>
      <c r="AR19" s="112">
        <f>IFERROR(SUM($K19,$L19)/AP19,0)</f>
        <v>0</v>
      </c>
      <c r="AS19" s="116">
        <f>+AQ19*'Global Inputs'!$F$30</f>
        <v>0.51528756261336917</v>
      </c>
      <c r="AT19" s="116">
        <f>AR19*'Global Inputs'!$F$33</f>
        <v>0</v>
      </c>
      <c r="AU19" s="116">
        <f>+AQ19*('Global Inputs'!$I$30-'Global Inputs'!$H$30)+'FS - Operational'!AR19*('Global Inputs'!$I$31-'Global Inputs'!$H$31)</f>
        <v>3.7438861971127606E-2</v>
      </c>
      <c r="AV19" s="256">
        <f>+AS19+AT19+AU19</f>
        <v>0.55272642458449672</v>
      </c>
      <c r="AW19" s="44"/>
      <c r="AX19" s="259">
        <f>+$AX$5</f>
        <v>0.98</v>
      </c>
      <c r="AY19" s="259" t="s">
        <v>238</v>
      </c>
      <c r="AZ19" s="112">
        <f>IFERROR(SUM($K19,$L19)/AX19,0)</f>
        <v>10.187445434320436</v>
      </c>
      <c r="BA19" s="112">
        <f>IFERROR(SUM($K19,$L19)/AY19,0)</f>
        <v>0</v>
      </c>
      <c r="BB19" s="116">
        <f>+AZ19*'Global Inputs'!$F$30</f>
        <v>1.6299912694912697</v>
      </c>
      <c r="BC19" s="116">
        <f>BA19*'Global Inputs'!$F$33</f>
        <v>0</v>
      </c>
      <c r="BD19" s="116">
        <f>+AZ19*('Global Inputs'!$I$30-'Global Inputs'!$H$30)+'FS - Operational'!BA19*('Global Inputs'!$I$31-'Global Inputs'!$H$31)</f>
        <v>0.11842905317397506</v>
      </c>
      <c r="BE19" s="256">
        <f>+BB19+BC19+BD19</f>
        <v>1.7484203226652448</v>
      </c>
      <c r="BF19" s="44"/>
      <c r="BG19" s="259">
        <f>+N19</f>
        <v>0</v>
      </c>
      <c r="BH19" s="259">
        <f>+O19</f>
        <v>0.85</v>
      </c>
      <c r="BI19" s="112">
        <f>IFERROR(SUM($K19,$L19)/BG19,0)</f>
        <v>0</v>
      </c>
      <c r="BJ19" s="112">
        <f>IFERROR(SUM($K19,$L19)/BH19,0)</f>
        <v>11.745525324275325</v>
      </c>
      <c r="BK19" s="116">
        <f>+BI19*'Global Inputs'!$F$30</f>
        <v>0</v>
      </c>
      <c r="BL19" s="116">
        <f>BJ19*'Global Inputs'!$F$33</f>
        <v>2.231649811612312</v>
      </c>
      <c r="BM19" s="116">
        <f>+BI19*('Global Inputs'!$I$30-'Global Inputs'!$H$30)+'FS - Operational'!BJ19*('Global Inputs'!$I$33-'Global Inputs'!$H$33)</f>
        <v>0.19505961699242952</v>
      </c>
      <c r="BN19" s="256">
        <f>+BK19+BL19+BM19</f>
        <v>2.4267094286047417</v>
      </c>
      <c r="BO19" s="44"/>
      <c r="BP19" s="256">
        <f>+U19</f>
        <v>0.98773630097965004</v>
      </c>
      <c r="BQ19" s="44"/>
      <c r="BR19" s="256">
        <f>+AD19</f>
        <v>0.61194711293283566</v>
      </c>
      <c r="BS19" s="44"/>
      <c r="BT19" s="256">
        <f>+AM19</f>
        <v>0.61194711293283566</v>
      </c>
      <c r="BU19" s="44"/>
      <c r="BV19" s="256">
        <f>+AV19</f>
        <v>0.55272642458449672</v>
      </c>
      <c r="BW19" s="256">
        <f t="shared" ref="BW19:BW20" si="34">+BE19</f>
        <v>1.7484203226652448</v>
      </c>
      <c r="BX19" s="44"/>
      <c r="BY19" s="256">
        <f>+BN19</f>
        <v>2.4267094286047417</v>
      </c>
      <c r="BZ19" s="44"/>
    </row>
    <row r="20" spans="1:78" x14ac:dyDescent="0.3">
      <c r="A20" s="46" t="str">
        <f>IF('Building Typology'!A20=0," ",'Building Typology'!A20)</f>
        <v>Pre-2004 apartment - electric</v>
      </c>
      <c r="B20" s="44"/>
      <c r="C20" s="111">
        <f>+('Building Typology'!Q20-'Building Typology'!S20)*1000000/'Building Typology'!$E20</f>
        <v>21.684046752508298</v>
      </c>
      <c r="D20" s="111">
        <f>+('Building Typology'!S20)*1000000/'Building Typology'!$E20</f>
        <v>0</v>
      </c>
      <c r="E20" s="259">
        <v>0.5</v>
      </c>
      <c r="F20" s="259">
        <v>0</v>
      </c>
      <c r="G20" s="111">
        <f t="shared" si="30"/>
        <v>10.842023376254149</v>
      </c>
      <c r="H20" s="111">
        <f t="shared" si="31"/>
        <v>0</v>
      </c>
      <c r="I20" s="259">
        <v>0.98</v>
      </c>
      <c r="J20" s="259">
        <v>0</v>
      </c>
      <c r="K20" s="111">
        <f>+G20*I20</f>
        <v>10.625182908729066</v>
      </c>
      <c r="L20" s="112">
        <f>+H20*J20</f>
        <v>0</v>
      </c>
      <c r="M20" s="44"/>
      <c r="N20" s="259">
        <v>0.98</v>
      </c>
      <c r="O20" s="259">
        <v>0</v>
      </c>
      <c r="P20" s="112">
        <f>IFERROR(SUM($K20,$L20)/N20,0)</f>
        <v>10.842023376254149</v>
      </c>
      <c r="Q20" s="112">
        <f>IFERROR(SUM($K20,$L20)/O20,0)</f>
        <v>0</v>
      </c>
      <c r="R20" s="116">
        <f>+P20*'Global Inputs'!$F$30</f>
        <v>1.7347237402006639</v>
      </c>
      <c r="S20" s="116">
        <f>Q20*'Global Inputs'!$F$31</f>
        <v>0</v>
      </c>
      <c r="T20" s="116">
        <f>+P20*('Global Inputs'!$I$30-'Global Inputs'!$H$30)+'FS - Operational'!Q20*('Global Inputs'!$I$31-'Global Inputs'!$H$31)</f>
        <v>0.12603852174895447</v>
      </c>
      <c r="U20" s="256">
        <f>+R20+S20+T20</f>
        <v>1.8607622619496182</v>
      </c>
      <c r="V20" s="44"/>
      <c r="W20" s="259" t="str">
        <f>+AX20</f>
        <v>na</v>
      </c>
      <c r="X20" s="259" t="str">
        <f>+AY20</f>
        <v>na</v>
      </c>
      <c r="Y20" s="112">
        <f>IFERROR(SUM($K20,$L20)/W20,0)</f>
        <v>0</v>
      </c>
      <c r="Z20" s="112">
        <f>IFERROR(SUM($K20,$L20)/X20,0)</f>
        <v>0</v>
      </c>
      <c r="AA20" s="116">
        <f>+Y20*'Global Inputs'!$F$30</f>
        <v>0</v>
      </c>
      <c r="AB20" s="116">
        <f>Z20*'Global Inputs'!$F$33</f>
        <v>0</v>
      </c>
      <c r="AC20" s="116">
        <f>+Y20*('Global Inputs'!$I$30-'Global Inputs'!$H$30)+'FS - Operational'!Z20*('Global Inputs'!$I$31-'Global Inputs'!$H$31)</f>
        <v>0</v>
      </c>
      <c r="AD20" s="256">
        <f>+AA20+AB20+AC20</f>
        <v>0</v>
      </c>
      <c r="AE20" s="44"/>
      <c r="AF20" s="259" t="str">
        <f t="shared" ref="AF20" si="35">+W20</f>
        <v>na</v>
      </c>
      <c r="AG20" s="259" t="str">
        <f t="shared" si="32"/>
        <v>na</v>
      </c>
      <c r="AH20" s="112">
        <f>IFERROR(SUM($K20,$L20)/AF20,0)</f>
        <v>0</v>
      </c>
      <c r="AI20" s="112">
        <f>IFERROR(SUM($K20,$L20)/AG20,0)</f>
        <v>0</v>
      </c>
      <c r="AJ20" s="116">
        <f>+AH20*'Global Inputs'!$F$30</f>
        <v>0</v>
      </c>
      <c r="AK20" s="116">
        <f>AI20*'Global Inputs'!$F$33</f>
        <v>0</v>
      </c>
      <c r="AL20" s="116">
        <f>+AH20*('Global Inputs'!$I$30-'Global Inputs'!$H$30)+'FS - Operational'!AI20*('Global Inputs'!$I$31-'Global Inputs'!$H$31)</f>
        <v>0</v>
      </c>
      <c r="AM20" s="256">
        <f>+AJ20+AK20+AL20</f>
        <v>0</v>
      </c>
      <c r="AN20" s="44"/>
      <c r="AO20" s="259" t="str">
        <f t="shared" ref="AO20" si="36">+AF20</f>
        <v>na</v>
      </c>
      <c r="AP20" s="259" t="str">
        <f t="shared" si="33"/>
        <v>na</v>
      </c>
      <c r="AQ20" s="112">
        <f>IFERROR(SUM($K20,$L20)/AO20,0)</f>
        <v>0</v>
      </c>
      <c r="AR20" s="112">
        <f>IFERROR(SUM($K20,$L20)/AP20,0)</f>
        <v>0</v>
      </c>
      <c r="AS20" s="116">
        <f>+AQ20*'Global Inputs'!$F$30</f>
        <v>0</v>
      </c>
      <c r="AT20" s="116">
        <f>AR20*'Global Inputs'!$F$33</f>
        <v>0</v>
      </c>
      <c r="AU20" s="116">
        <f>+AQ20*('Global Inputs'!$I$30-'Global Inputs'!$H$30)+'FS - Operational'!AR20*('Global Inputs'!$I$31-'Global Inputs'!$H$31)</f>
        <v>0</v>
      </c>
      <c r="AV20" s="256">
        <f>+AS20+AT20+AU20</f>
        <v>0</v>
      </c>
      <c r="AW20" s="44"/>
      <c r="AX20" s="259" t="str">
        <f>+BG20</f>
        <v>na</v>
      </c>
      <c r="AY20" s="259" t="str">
        <f>+BH20</f>
        <v>na</v>
      </c>
      <c r="AZ20" s="112">
        <f>IFERROR(SUM($K20,$L20)/AX20,0)</f>
        <v>0</v>
      </c>
      <c r="BA20" s="112">
        <f>IFERROR(SUM($K20,$L20)/AY20,0)</f>
        <v>0</v>
      </c>
      <c r="BB20" s="116">
        <f>+AZ20*'Global Inputs'!$F$30</f>
        <v>0</v>
      </c>
      <c r="BC20" s="116">
        <f>BA20*'Global Inputs'!$F$33</f>
        <v>0</v>
      </c>
      <c r="BD20" s="116">
        <f>+AZ20*('Global Inputs'!$I$30-'Global Inputs'!$H$30)+'FS - Operational'!BA20*('Global Inputs'!$I$31-'Global Inputs'!$H$31)</f>
        <v>0</v>
      </c>
      <c r="BE20" s="256">
        <f>+BB20+BC20+BD20</f>
        <v>0</v>
      </c>
      <c r="BF20" s="44"/>
      <c r="BG20" s="259" t="s">
        <v>393</v>
      </c>
      <c r="BH20" s="259" t="s">
        <v>393</v>
      </c>
      <c r="BI20" s="112">
        <f>IFERROR(SUM($K20,$L20)/BG20,0)</f>
        <v>0</v>
      </c>
      <c r="BJ20" s="112">
        <f>IFERROR(SUM($K20,$L20)/BH20,0)</f>
        <v>0</v>
      </c>
      <c r="BK20" s="116">
        <f>+BI20*'Global Inputs'!$F$30</f>
        <v>0</v>
      </c>
      <c r="BL20" s="116">
        <f>BJ20*'Global Inputs'!$F$33</f>
        <v>0</v>
      </c>
      <c r="BM20" s="116">
        <f>+BI20*('Global Inputs'!$I$30-'Global Inputs'!$H$30)+'FS - Operational'!BJ20*('Global Inputs'!$I$33-'Global Inputs'!$H$33)</f>
        <v>0</v>
      </c>
      <c r="BN20" s="256">
        <f>+BK20+BL20+BM20</f>
        <v>0</v>
      </c>
      <c r="BO20" s="44"/>
      <c r="BP20" s="256">
        <f>+U20</f>
        <v>1.8607622619496182</v>
      </c>
      <c r="BQ20" s="44"/>
      <c r="BR20" s="256">
        <f>+AD20</f>
        <v>0</v>
      </c>
      <c r="BS20" s="44"/>
      <c r="BT20" s="256">
        <f>+AM20</f>
        <v>0</v>
      </c>
      <c r="BU20" s="44"/>
      <c r="BV20" s="256">
        <f>+AV20</f>
        <v>0</v>
      </c>
      <c r="BW20" s="256">
        <f t="shared" si="34"/>
        <v>0</v>
      </c>
      <c r="BX20" s="44"/>
      <c r="BY20" s="256">
        <f>+BN20</f>
        <v>0</v>
      </c>
      <c r="BZ20" s="44"/>
    </row>
    <row r="21" spans="1:78" x14ac:dyDescent="0.3">
      <c r="A21" s="46" t="str">
        <f>IF('Building Typology'!A21=0," ",'Building Typology'!A21)</f>
        <v>Post-2004 condo (window glazing alternate)</v>
      </c>
      <c r="B21" s="44"/>
      <c r="C21" s="116"/>
      <c r="D21" s="116"/>
      <c r="E21" s="96"/>
      <c r="F21" s="96"/>
      <c r="G21" s="116"/>
      <c r="H21" s="116"/>
      <c r="I21" s="96"/>
      <c r="J21" s="96"/>
      <c r="K21" s="116"/>
      <c r="L21" s="115"/>
      <c r="M21" s="44"/>
      <c r="N21" s="96"/>
      <c r="O21" s="96"/>
      <c r="P21" s="115"/>
      <c r="Q21" s="115"/>
      <c r="R21" s="116"/>
      <c r="S21" s="116"/>
      <c r="T21" s="116"/>
      <c r="U21" s="256"/>
      <c r="V21" s="44"/>
      <c r="W21" s="96"/>
      <c r="X21" s="96"/>
      <c r="Y21" s="115"/>
      <c r="Z21" s="115"/>
      <c r="AA21" s="116"/>
      <c r="AB21" s="116"/>
      <c r="AC21" s="116"/>
      <c r="AD21" s="256"/>
      <c r="AE21" s="44"/>
      <c r="AF21" s="96"/>
      <c r="AG21" s="96"/>
      <c r="AH21" s="115"/>
      <c r="AI21" s="115"/>
      <c r="AJ21" s="116"/>
      <c r="AK21" s="116"/>
      <c r="AL21" s="116"/>
      <c r="AM21" s="256"/>
      <c r="AN21" s="44"/>
      <c r="AO21" s="96"/>
      <c r="AP21" s="96"/>
      <c r="AQ21" s="115"/>
      <c r="AR21" s="115"/>
      <c r="AS21" s="116"/>
      <c r="AT21" s="116"/>
      <c r="AU21" s="116"/>
      <c r="AV21" s="256"/>
      <c r="AW21" s="44"/>
      <c r="AX21" s="96"/>
      <c r="AY21" s="96"/>
      <c r="AZ21" s="115"/>
      <c r="BA21" s="115"/>
      <c r="BB21" s="116"/>
      <c r="BC21" s="116"/>
      <c r="BD21" s="116"/>
      <c r="BE21" s="256"/>
      <c r="BF21" s="44"/>
      <c r="BG21" s="96"/>
      <c r="BH21" s="96"/>
      <c r="BI21" s="115"/>
      <c r="BJ21" s="115"/>
      <c r="BK21" s="116"/>
      <c r="BL21" s="116"/>
      <c r="BM21" s="116">
        <f>+BI21*('Global Inputs'!$I$30-'Global Inputs'!$H$30)+'FS - Operational'!BJ21*('Global Inputs'!$I$33-'Global Inputs'!$H$33)</f>
        <v>0</v>
      </c>
      <c r="BN21" s="256"/>
      <c r="BO21" s="44"/>
      <c r="BP21" s="256"/>
      <c r="BQ21" s="44"/>
      <c r="BR21" s="256"/>
      <c r="BS21" s="44"/>
      <c r="BT21" s="256"/>
      <c r="BU21" s="44"/>
      <c r="BV21" s="256"/>
      <c r="BW21" s="256"/>
      <c r="BX21" s="44"/>
      <c r="BY21" s="256"/>
      <c r="BZ21" s="44"/>
    </row>
    <row r="22" spans="1:78" x14ac:dyDescent="0.3">
      <c r="A22" s="46" t="str">
        <f>IF('Building Typology'!A22=0," ",'Building Typology'!A22)</f>
        <v>Post-2004 condo</v>
      </c>
      <c r="B22" s="44"/>
      <c r="C22" s="111">
        <f>+('Building Typology'!Q22-'Building Typology'!S22)*1000000/'Building Typology'!$E22</f>
        <v>9.9385214282329724</v>
      </c>
      <c r="D22" s="111">
        <f>+('Building Typology'!S22)*1000000/'Building Typology'!$E22</f>
        <v>11.745525324275327</v>
      </c>
      <c r="E22" s="259">
        <v>0</v>
      </c>
      <c r="F22" s="259">
        <v>1</v>
      </c>
      <c r="G22" s="111">
        <f t="shared" ref="G22:H22" si="37">+C22*E22</f>
        <v>0</v>
      </c>
      <c r="H22" s="111">
        <f t="shared" si="37"/>
        <v>11.745525324275327</v>
      </c>
      <c r="I22" s="259">
        <v>0</v>
      </c>
      <c r="J22" s="259">
        <v>0.9</v>
      </c>
      <c r="K22" s="111">
        <f>+G22*I22</f>
        <v>0</v>
      </c>
      <c r="L22" s="112">
        <f>+H22*J22</f>
        <v>10.570972791847796</v>
      </c>
      <c r="M22" s="44"/>
      <c r="N22" s="259">
        <v>0</v>
      </c>
      <c r="O22" s="259">
        <v>0.9</v>
      </c>
      <c r="P22" s="112">
        <f>IFERROR(SUM($K22,$L22)/N22,0)</f>
        <v>0</v>
      </c>
      <c r="Q22" s="112">
        <f>IFERROR(SUM($K22,$L22)/O22,0)</f>
        <v>11.745525324275329</v>
      </c>
      <c r="R22" s="116">
        <f>+P22*'Global Inputs'!$F$30</f>
        <v>0</v>
      </c>
      <c r="S22" s="116">
        <f>Q22*'Global Inputs'!$F$31</f>
        <v>0.44156937340084768</v>
      </c>
      <c r="T22" s="116">
        <f>+P22*('Global Inputs'!$I$30-'Global Inputs'!$H$30)+'FS - Operational'!Q22*('Global Inputs'!$I$31-'Global Inputs'!$H$31)</f>
        <v>0.54616692757880281</v>
      </c>
      <c r="U22" s="256">
        <f>+R22+S22+T22</f>
        <v>0.98773630097965048</v>
      </c>
      <c r="V22" s="44"/>
      <c r="W22" s="259">
        <f>+$W$5</f>
        <v>2.8</v>
      </c>
      <c r="X22" s="259" t="str">
        <f>+AY22</f>
        <v>-</v>
      </c>
      <c r="Y22" s="112">
        <f>IFERROR(SUM($K22,$L22)/W22,0)</f>
        <v>3.7753474256599273</v>
      </c>
      <c r="Z22" s="112">
        <f>IFERROR(SUM($K22,$L22)/X22,0)</f>
        <v>0</v>
      </c>
      <c r="AA22" s="116">
        <f>+Y22*'Global Inputs'!$F$30</f>
        <v>0.60405558810558835</v>
      </c>
      <c r="AB22" s="116">
        <f>Z22*'Global Inputs'!$F$33</f>
        <v>0</v>
      </c>
      <c r="AC22" s="116">
        <f>+Y22*('Global Inputs'!$I$30-'Global Inputs'!$H$30)+'FS - Operational'!Z22*('Global Inputs'!$I$31-'Global Inputs'!$H$31)</f>
        <v>4.3888413823296654E-2</v>
      </c>
      <c r="AD22" s="256">
        <f>+AA22+AB22+AC22</f>
        <v>0.64794400192888502</v>
      </c>
      <c r="AE22" s="44"/>
      <c r="AF22" s="259">
        <f>+$AF$5</f>
        <v>2.8</v>
      </c>
      <c r="AG22" s="259" t="str">
        <f>+X22</f>
        <v>-</v>
      </c>
      <c r="AH22" s="112">
        <f>IFERROR(SUM($K22,$L22)/AF22,0)</f>
        <v>3.7753474256599273</v>
      </c>
      <c r="AI22" s="112">
        <f>IFERROR(SUM($K22,$L22)/AG22,0)</f>
        <v>0</v>
      </c>
      <c r="AJ22" s="116">
        <f>+AH22*'Global Inputs'!$F$30</f>
        <v>0.60405558810558835</v>
      </c>
      <c r="AK22" s="116">
        <f>AI22*'Global Inputs'!$F$33</f>
        <v>0</v>
      </c>
      <c r="AL22" s="116">
        <f>+AH22*('Global Inputs'!$I$30-'Global Inputs'!$H$30)+'FS - Operational'!AI22*('Global Inputs'!$I$31-'Global Inputs'!$H$31)</f>
        <v>4.3888413823296654E-2</v>
      </c>
      <c r="AM22" s="256">
        <f>+AJ22+AK22+AL22</f>
        <v>0.64794400192888502</v>
      </c>
      <c r="AN22" s="44"/>
      <c r="AO22" s="259">
        <f>+$AO$5</f>
        <v>3.1</v>
      </c>
      <c r="AP22" s="259" t="str">
        <f>+AG22</f>
        <v>-</v>
      </c>
      <c r="AQ22" s="112">
        <f>IFERROR(SUM($K22,$L22)/AO22,0)</f>
        <v>3.409991223176708</v>
      </c>
      <c r="AR22" s="112">
        <f>IFERROR(SUM($K22,$L22)/AP22,0)</f>
        <v>0</v>
      </c>
      <c r="AS22" s="116">
        <f>+AQ22*'Global Inputs'!$F$30</f>
        <v>0.54559859570827329</v>
      </c>
      <c r="AT22" s="116">
        <f>AR22*'Global Inputs'!$F$33</f>
        <v>0</v>
      </c>
      <c r="AU22" s="116">
        <f>+AQ22*('Global Inputs'!$I$30-'Global Inputs'!$H$30)+'FS - Operational'!AR22*('Global Inputs'!$I$31-'Global Inputs'!$H$31)</f>
        <v>3.9641147969429233E-2</v>
      </c>
      <c r="AV22" s="256">
        <f>+AS22+AT22+AU22</f>
        <v>0.58523974367770248</v>
      </c>
      <c r="AW22" s="44"/>
      <c r="AX22" s="259">
        <f>+$AX$5</f>
        <v>0.98</v>
      </c>
      <c r="AY22" s="259" t="s">
        <v>238</v>
      </c>
      <c r="AZ22" s="112">
        <f>IFERROR(SUM($K22,$L22)/AX22,0)</f>
        <v>10.786706930456935</v>
      </c>
      <c r="BA22" s="112">
        <f>IFERROR(SUM($K22,$L22)/AY22,0)</f>
        <v>0</v>
      </c>
      <c r="BB22" s="116">
        <f>+AZ22*'Global Inputs'!$F$30</f>
        <v>1.7258731088731096</v>
      </c>
      <c r="BC22" s="116">
        <f>BA22*'Global Inputs'!$F$33</f>
        <v>0</v>
      </c>
      <c r="BD22" s="116">
        <f>+AZ22*('Global Inputs'!$I$30-'Global Inputs'!$H$30)+'FS - Operational'!BA22*('Global Inputs'!$I$31-'Global Inputs'!$H$31)</f>
        <v>0.12539546806656188</v>
      </c>
      <c r="BE22" s="256">
        <f>+BB22+BC22+BD22</f>
        <v>1.8512685769396715</v>
      </c>
      <c r="BF22" s="44"/>
      <c r="BG22" s="259">
        <f>+N22</f>
        <v>0</v>
      </c>
      <c r="BH22" s="259">
        <f>+O22</f>
        <v>0.9</v>
      </c>
      <c r="BI22" s="112">
        <f>IFERROR(SUM($K22,$L22)/BG22,0)</f>
        <v>0</v>
      </c>
      <c r="BJ22" s="112">
        <f>IFERROR(SUM($K22,$L22)/BH22,0)</f>
        <v>11.745525324275329</v>
      </c>
      <c r="BK22" s="116">
        <f>+BI22*'Global Inputs'!$F$30</f>
        <v>0</v>
      </c>
      <c r="BL22" s="116">
        <f>BJ22*'Global Inputs'!$F$33</f>
        <v>2.2316498116123125</v>
      </c>
      <c r="BM22" s="116">
        <f>+BI22*('Global Inputs'!$I$30-'Global Inputs'!$H$30)+'FS - Operational'!BJ22*('Global Inputs'!$I$33-'Global Inputs'!$H$33)</f>
        <v>0.19505961699242957</v>
      </c>
      <c r="BN22" s="256">
        <f>+BK22+BL22+BM22</f>
        <v>2.4267094286047421</v>
      </c>
      <c r="BO22" s="44"/>
      <c r="BP22" s="256">
        <f>+U22</f>
        <v>0.98773630097965048</v>
      </c>
      <c r="BQ22" s="44"/>
      <c r="BR22" s="256">
        <f>+AD22</f>
        <v>0.64794400192888502</v>
      </c>
      <c r="BS22" s="44"/>
      <c r="BT22" s="256">
        <f>+AM22</f>
        <v>0.64794400192888502</v>
      </c>
      <c r="BU22" s="44"/>
      <c r="BV22" s="256">
        <f>+AV22</f>
        <v>0.58523974367770248</v>
      </c>
      <c r="BW22" s="256">
        <f>+BE22</f>
        <v>1.8512685769396715</v>
      </c>
      <c r="BX22" s="44"/>
      <c r="BY22" s="256">
        <f>+BN22</f>
        <v>2.4267094286047421</v>
      </c>
      <c r="BZ22" s="44"/>
    </row>
    <row r="23" spans="1:78" x14ac:dyDescent="0.3">
      <c r="A23" s="44" t="str">
        <f>IF('Building Typology'!A23=0," ",'Building Typology'!A23)</f>
        <v xml:space="preserve"> </v>
      </c>
      <c r="B23" s="44"/>
      <c r="C23" s="113"/>
      <c r="D23" s="113"/>
      <c r="E23" s="261"/>
      <c r="F23" s="261"/>
      <c r="G23" s="113"/>
      <c r="H23" s="113"/>
      <c r="I23" s="261"/>
      <c r="J23" s="261"/>
      <c r="K23" s="113"/>
      <c r="L23" s="113"/>
      <c r="M23" s="44"/>
      <c r="N23" s="261"/>
      <c r="O23" s="261"/>
      <c r="P23" s="261"/>
      <c r="Q23" s="113"/>
      <c r="R23" s="113"/>
      <c r="S23" s="113"/>
      <c r="T23" s="113"/>
      <c r="U23" s="257"/>
      <c r="V23" s="44"/>
      <c r="W23" s="261"/>
      <c r="X23" s="261"/>
      <c r="Y23" s="261"/>
      <c r="Z23" s="113"/>
      <c r="AA23" s="113"/>
      <c r="AB23" s="113"/>
      <c r="AC23" s="113"/>
      <c r="AD23" s="257"/>
      <c r="AE23" s="44"/>
      <c r="AF23" s="261"/>
      <c r="AG23" s="261"/>
      <c r="AH23" s="261"/>
      <c r="AI23" s="113"/>
      <c r="AJ23" s="113"/>
      <c r="AK23" s="113"/>
      <c r="AL23" s="113"/>
      <c r="AM23" s="257"/>
      <c r="AN23" s="44"/>
      <c r="AO23" s="261"/>
      <c r="AP23" s="261"/>
      <c r="AQ23" s="261"/>
      <c r="AR23" s="113"/>
      <c r="AS23" s="113"/>
      <c r="AT23" s="113"/>
      <c r="AU23" s="113"/>
      <c r="AV23" s="257"/>
      <c r="AW23" s="44"/>
      <c r="AX23" s="261"/>
      <c r="AY23" s="261"/>
      <c r="AZ23" s="261"/>
      <c r="BA23" s="113"/>
      <c r="BB23" s="113"/>
      <c r="BC23" s="113"/>
      <c r="BD23" s="113"/>
      <c r="BE23" s="257"/>
      <c r="BF23" s="44"/>
      <c r="BG23" s="261"/>
      <c r="BH23" s="261"/>
      <c r="BI23" s="261"/>
      <c r="BJ23" s="113"/>
      <c r="BK23" s="113"/>
      <c r="BL23" s="113"/>
      <c r="BM23" s="113"/>
      <c r="BN23" s="257"/>
      <c r="BO23" s="44"/>
      <c r="BP23" s="113"/>
      <c r="BQ23" s="44"/>
      <c r="BR23" s="113"/>
      <c r="BS23" s="44"/>
      <c r="BT23" s="113"/>
      <c r="BU23" s="44"/>
      <c r="BV23" s="113"/>
      <c r="BW23" s="113"/>
      <c r="BX23" s="44"/>
      <c r="BY23" s="113"/>
      <c r="BZ23" s="44"/>
    </row>
    <row r="24" spans="1:78" ht="16.5" x14ac:dyDescent="0.3">
      <c r="A24" s="98" t="str">
        <f>IF('Building Typology'!A24=0," ",'Building Typology'!A24)</f>
        <v>RESIDENTIAL</v>
      </c>
      <c r="B24" s="44"/>
      <c r="C24" s="115"/>
      <c r="D24" s="115"/>
      <c r="E24" s="96"/>
      <c r="F24" s="96"/>
      <c r="G24" s="115"/>
      <c r="H24" s="115"/>
      <c r="I24" s="96"/>
      <c r="J24" s="96"/>
      <c r="K24" s="115"/>
      <c r="L24" s="115"/>
      <c r="M24" s="44"/>
      <c r="N24" s="96"/>
      <c r="O24" s="96"/>
      <c r="P24" s="115"/>
      <c r="Q24" s="115"/>
      <c r="R24" s="115"/>
      <c r="S24" s="115"/>
      <c r="T24" s="115"/>
      <c r="U24" s="258"/>
      <c r="V24" s="44"/>
      <c r="W24" s="96"/>
      <c r="X24" s="96"/>
      <c r="Y24" s="115"/>
      <c r="Z24" s="115"/>
      <c r="AA24" s="115"/>
      <c r="AB24" s="115"/>
      <c r="AC24" s="115"/>
      <c r="AD24" s="258"/>
      <c r="AE24" s="44"/>
      <c r="AF24" s="96"/>
      <c r="AG24" s="96"/>
      <c r="AH24" s="115"/>
      <c r="AI24" s="115"/>
      <c r="AJ24" s="115"/>
      <c r="AK24" s="115"/>
      <c r="AL24" s="115"/>
      <c r="AM24" s="258"/>
      <c r="AN24" s="44"/>
      <c r="AO24" s="96"/>
      <c r="AP24" s="96"/>
      <c r="AQ24" s="115"/>
      <c r="AR24" s="115"/>
      <c r="AS24" s="115"/>
      <c r="AT24" s="115"/>
      <c r="AU24" s="115"/>
      <c r="AV24" s="258"/>
      <c r="AW24" s="44"/>
      <c r="AX24" s="96"/>
      <c r="AY24" s="96"/>
      <c r="AZ24" s="115"/>
      <c r="BA24" s="115"/>
      <c r="BB24" s="115"/>
      <c r="BC24" s="115"/>
      <c r="BD24" s="115"/>
      <c r="BE24" s="258"/>
      <c r="BF24" s="44"/>
      <c r="BG24" s="96"/>
      <c r="BH24" s="96"/>
      <c r="BI24" s="115"/>
      <c r="BJ24" s="115"/>
      <c r="BK24" s="115"/>
      <c r="BL24" s="115"/>
      <c r="BM24" s="115"/>
      <c r="BN24" s="258"/>
      <c r="BO24" s="44"/>
      <c r="BP24" s="115"/>
      <c r="BQ24" s="44"/>
      <c r="BR24" s="115"/>
      <c r="BS24" s="44"/>
      <c r="BT24" s="115"/>
      <c r="BU24" s="44"/>
      <c r="BV24" s="115"/>
      <c r="BW24" s="115"/>
      <c r="BX24" s="44"/>
      <c r="BY24" s="115"/>
      <c r="BZ24" s="44"/>
    </row>
    <row r="25" spans="1:78" ht="31.5" x14ac:dyDescent="0.3">
      <c r="A25" s="46" t="str">
        <f>IF('Building Typology'!A25=0," ",'Building Typology'!A25)</f>
        <v>Typical house
(Pitched Roof)(Int. Wall Reno)</v>
      </c>
      <c r="B25" s="44"/>
      <c r="C25" s="115"/>
      <c r="D25" s="115"/>
      <c r="E25" s="96"/>
      <c r="F25" s="96"/>
      <c r="G25" s="115"/>
      <c r="H25" s="115"/>
      <c r="I25" s="96"/>
      <c r="J25" s="96"/>
      <c r="K25" s="115"/>
      <c r="L25" s="115"/>
      <c r="M25" s="44"/>
      <c r="N25" s="96"/>
      <c r="O25" s="96"/>
      <c r="P25" s="115"/>
      <c r="Q25" s="115"/>
      <c r="R25" s="115"/>
      <c r="S25" s="115"/>
      <c r="T25" s="115"/>
      <c r="U25" s="258"/>
      <c r="V25" s="44"/>
      <c r="W25" s="96"/>
      <c r="X25" s="96"/>
      <c r="Y25" s="115"/>
      <c r="Z25" s="115"/>
      <c r="AA25" s="115"/>
      <c r="AB25" s="115"/>
      <c r="AC25" s="115"/>
      <c r="AD25" s="258"/>
      <c r="AE25" s="44"/>
      <c r="AF25" s="96"/>
      <c r="AG25" s="96"/>
      <c r="AH25" s="115"/>
      <c r="AI25" s="115"/>
      <c r="AJ25" s="115"/>
      <c r="AK25" s="115"/>
      <c r="AL25" s="115"/>
      <c r="AM25" s="258"/>
      <c r="AN25" s="44"/>
      <c r="AO25" s="96"/>
      <c r="AP25" s="96"/>
      <c r="AQ25" s="115"/>
      <c r="AR25" s="115"/>
      <c r="AS25" s="115"/>
      <c r="AT25" s="115"/>
      <c r="AU25" s="115"/>
      <c r="AV25" s="258"/>
      <c r="AW25" s="44"/>
      <c r="AX25" s="96"/>
      <c r="AY25" s="96"/>
      <c r="AZ25" s="115"/>
      <c r="BA25" s="115"/>
      <c r="BB25" s="115"/>
      <c r="BC25" s="115"/>
      <c r="BD25" s="115"/>
      <c r="BE25" s="258"/>
      <c r="BF25" s="44"/>
      <c r="BG25" s="96"/>
      <c r="BH25" s="96"/>
      <c r="BI25" s="115"/>
      <c r="BJ25" s="115"/>
      <c r="BK25" s="115"/>
      <c r="BL25" s="115"/>
      <c r="BM25" s="115"/>
      <c r="BN25" s="258"/>
      <c r="BO25" s="44"/>
      <c r="BP25" s="115"/>
      <c r="BQ25" s="44"/>
      <c r="BR25" s="115"/>
      <c r="BS25" s="44"/>
      <c r="BT25" s="115"/>
      <c r="BU25" s="44"/>
      <c r="BV25" s="115"/>
      <c r="BW25" s="115"/>
      <c r="BX25" s="44"/>
      <c r="BY25" s="115"/>
      <c r="BZ25" s="44"/>
    </row>
    <row r="26" spans="1:78" ht="31.5" x14ac:dyDescent="0.3">
      <c r="A26" s="46" t="str">
        <f>IF('Building Typology'!A26=0," ",'Building Typology'!A26)</f>
        <v>Typical house
(Flat Roof)(Ext. Wall Reno)</v>
      </c>
      <c r="B26" s="44"/>
      <c r="C26" s="111">
        <f>+('Building Typology'!Q26-'Building Typology'!S26)*1000000/'Building Typology'!$E26</f>
        <v>4.8930721509715527</v>
      </c>
      <c r="D26" s="111">
        <f>+('Building Typology'!S26)*1000000/'Building Typology'!$E26</f>
        <v>11.743373162331727</v>
      </c>
      <c r="E26" s="259">
        <v>0</v>
      </c>
      <c r="F26" s="259">
        <v>0.9</v>
      </c>
      <c r="G26" s="111">
        <f t="shared" ref="G26:H26" si="38">+C26*E26</f>
        <v>0</v>
      </c>
      <c r="H26" s="111">
        <f t="shared" si="38"/>
        <v>10.569035846098554</v>
      </c>
      <c r="I26" s="259">
        <v>0</v>
      </c>
      <c r="J26" s="259">
        <v>0.85</v>
      </c>
      <c r="K26" s="111">
        <f>+G26*I26</f>
        <v>0</v>
      </c>
      <c r="L26" s="112">
        <f>+H26*J26</f>
        <v>8.9836804691837706</v>
      </c>
      <c r="M26" s="44" t="e">
        <f>'Building Typology'!#REF!*(1+1/12)</f>
        <v>#REF!</v>
      </c>
      <c r="N26" s="259">
        <v>0</v>
      </c>
      <c r="O26" s="259">
        <v>0.85</v>
      </c>
      <c r="P26" s="112">
        <f>IFERROR(SUM($K26,$L26)/N26,0)</f>
        <v>0</v>
      </c>
      <c r="Q26" s="112">
        <f>IFERROR(SUM($K26,$L26)/O26,0)</f>
        <v>10.569035846098554</v>
      </c>
      <c r="R26" s="116">
        <f>+P26*'Global Inputs'!$F$30</f>
        <v>0</v>
      </c>
      <c r="S26" s="116">
        <f>Q26*'Global Inputs'!$F$31</f>
        <v>0.39733961718743105</v>
      </c>
      <c r="T26" s="116">
        <f>+P26*('Global Inputs'!$I$30-'Global Inputs'!$H$30)+'FS - Operational'!Q26*('Global Inputs'!$I$31-'Global Inputs'!$H$31)</f>
        <v>0.49146016684358279</v>
      </c>
      <c r="U26" s="256">
        <f>+R26+S26+T26</f>
        <v>0.88879978403101378</v>
      </c>
      <c r="V26" s="44">
        <f>'Building Typology'!H26*(1+1/12)</f>
        <v>97.5</v>
      </c>
      <c r="W26" s="259">
        <f>+$W$5</f>
        <v>2.8</v>
      </c>
      <c r="X26" s="259" t="str">
        <f>+AY26</f>
        <v>-</v>
      </c>
      <c r="Y26" s="112">
        <f>IFERROR(SUM($K26,$L26)/W26,0)</f>
        <v>3.2084573104227756</v>
      </c>
      <c r="Z26" s="112">
        <f>IFERROR(SUM($K26,$L26)/X26,0)</f>
        <v>0</v>
      </c>
      <c r="AA26" s="116">
        <f>+Y26*'Global Inputs'!$F$30</f>
        <v>0.5133531696676441</v>
      </c>
      <c r="AB26" s="116">
        <f>Z26*'Global Inputs'!$F$33</f>
        <v>0</v>
      </c>
      <c r="AC26" s="116">
        <f>+Y26*('Global Inputs'!$I$30-'Global Inputs'!$H$30)+'FS - Operational'!Z26*('Global Inputs'!$I$31-'Global Inputs'!$H$31)</f>
        <v>3.7298316233664766E-2</v>
      </c>
      <c r="AD26" s="256">
        <f>+AA26+AB26+AC26</f>
        <v>0.55065148590130886</v>
      </c>
      <c r="AE26" s="44"/>
      <c r="AF26" s="259">
        <f>+$AF$5</f>
        <v>2.8</v>
      </c>
      <c r="AG26" s="259" t="str">
        <f>+X26</f>
        <v>-</v>
      </c>
      <c r="AH26" s="112">
        <f>IFERROR(SUM($K26,$L26)/AF26,0)</f>
        <v>3.2084573104227756</v>
      </c>
      <c r="AI26" s="112">
        <f>IFERROR(SUM($K26,$L26)/AG26,0)</f>
        <v>0</v>
      </c>
      <c r="AJ26" s="116">
        <f>+AH26*'Global Inputs'!$F$30</f>
        <v>0.5133531696676441</v>
      </c>
      <c r="AK26" s="116">
        <f>AI26*'Global Inputs'!$F$33</f>
        <v>0</v>
      </c>
      <c r="AL26" s="116">
        <f>+AH26*('Global Inputs'!$I$30-'Global Inputs'!$H$30)+'FS - Operational'!AI26*('Global Inputs'!$I$31-'Global Inputs'!$H$31)</f>
        <v>3.7298316233664766E-2</v>
      </c>
      <c r="AM26" s="256">
        <f>+AJ26+AK26+AL26</f>
        <v>0.55065148590130886</v>
      </c>
      <c r="AN26" s="44"/>
      <c r="AO26" s="259">
        <f>+$AO$5</f>
        <v>3.1</v>
      </c>
      <c r="AP26" s="259" t="str">
        <f>+AG26</f>
        <v>-</v>
      </c>
      <c r="AQ26" s="112">
        <f>IFERROR(SUM($K26,$L26)/AO26,0)</f>
        <v>2.8979614416721842</v>
      </c>
      <c r="AR26" s="112">
        <f>IFERROR(SUM($K26,$L26)/AP26,0)</f>
        <v>0</v>
      </c>
      <c r="AS26" s="116">
        <f>+AQ26*'Global Inputs'!$F$30</f>
        <v>0.46367383066754947</v>
      </c>
      <c r="AT26" s="116">
        <f>AR26*'Global Inputs'!$F$33</f>
        <v>0</v>
      </c>
      <c r="AU26" s="116">
        <f>+AQ26*('Global Inputs'!$I$30-'Global Inputs'!$H$30)+'FS - Operational'!AR26*('Global Inputs'!$I$31-'Global Inputs'!$H$31)</f>
        <v>3.3688801759439141E-2</v>
      </c>
      <c r="AV26" s="256">
        <f>+AS26+AT26+AU26</f>
        <v>0.49736263242698864</v>
      </c>
      <c r="AW26" s="44"/>
      <c r="AX26" s="259">
        <f>+$AX$5</f>
        <v>0.98</v>
      </c>
      <c r="AY26" s="259" t="s">
        <v>238</v>
      </c>
      <c r="AZ26" s="112">
        <f>IFERROR(SUM($K26,$L26)/AX26,0)</f>
        <v>9.1670208869222147</v>
      </c>
      <c r="BA26" s="112">
        <f>IFERROR(SUM($K26,$L26)/AY26,0)</f>
        <v>0</v>
      </c>
      <c r="BB26" s="116">
        <f>+AZ26*'Global Inputs'!$F$30</f>
        <v>1.4667233419075545</v>
      </c>
      <c r="BC26" s="116">
        <f>BA26*'Global Inputs'!$F$33</f>
        <v>0</v>
      </c>
      <c r="BD26" s="116">
        <f>+AZ26*('Global Inputs'!$I$30-'Global Inputs'!$H$30)+'FS - Operational'!BA26*('Global Inputs'!$I$31-'Global Inputs'!$H$31)</f>
        <v>0.10656661781047075</v>
      </c>
      <c r="BE26" s="256">
        <f>+BB26+BC26+BD26</f>
        <v>1.5732899597180252</v>
      </c>
      <c r="BF26" s="44"/>
      <c r="BG26" s="259">
        <f>+N26</f>
        <v>0</v>
      </c>
      <c r="BH26" s="259">
        <f>+O26</f>
        <v>0.85</v>
      </c>
      <c r="BI26" s="112">
        <f>IFERROR(SUM($K26,$L26)/BG26,0)</f>
        <v>0</v>
      </c>
      <c r="BJ26" s="112">
        <f>IFERROR(SUM($K26,$L26)/BH26,0)</f>
        <v>10.569035846098554</v>
      </c>
      <c r="BK26" s="116">
        <f>+BI26*'Global Inputs'!$F$30</f>
        <v>0</v>
      </c>
      <c r="BL26" s="116">
        <f>BJ26*'Global Inputs'!$F$33</f>
        <v>2.0081168107587253</v>
      </c>
      <c r="BM26" s="116">
        <f>+BI26*('Global Inputs'!$I$30-'Global Inputs'!$H$30)+'FS - Operational'!BJ26*('Global Inputs'!$I$33-'Global Inputs'!$H$33)</f>
        <v>0.17552148815842245</v>
      </c>
      <c r="BN26" s="256">
        <f>+BK26+BL26+BM26</f>
        <v>2.1836382989171477</v>
      </c>
      <c r="BO26" s="44"/>
      <c r="BP26" s="256">
        <f>+U26</f>
        <v>0.88879978403101378</v>
      </c>
      <c r="BQ26" s="44"/>
      <c r="BR26" s="256">
        <f>+AD26</f>
        <v>0.55065148590130886</v>
      </c>
      <c r="BS26" s="44"/>
      <c r="BT26" s="256">
        <f>+AM26</f>
        <v>0.55065148590130886</v>
      </c>
      <c r="BU26" s="44"/>
      <c r="BV26" s="256">
        <f>+AV26</f>
        <v>0.49736263242698864</v>
      </c>
      <c r="BW26" s="256">
        <f>+BE26</f>
        <v>1.5732899597180252</v>
      </c>
      <c r="BX26" s="44"/>
      <c r="BY26" s="256">
        <f>+BN26</f>
        <v>2.1836382989171477</v>
      </c>
      <c r="BZ26" s="44"/>
    </row>
    <row r="27" spans="1:78" x14ac:dyDescent="0.3">
      <c r="A27" s="44" t="str">
        <f>IF('Building Typology'!A27=0," ",'Building Typology'!A27)</f>
        <v xml:space="preserve"> </v>
      </c>
      <c r="B27" s="44"/>
      <c r="C27" s="113"/>
      <c r="D27" s="113"/>
      <c r="E27" s="261"/>
      <c r="F27" s="261"/>
      <c r="G27" s="113"/>
      <c r="H27" s="113"/>
      <c r="I27" s="261"/>
      <c r="J27" s="261"/>
      <c r="K27" s="113"/>
      <c r="L27" s="113"/>
      <c r="M27" s="44"/>
      <c r="N27" s="261"/>
      <c r="O27" s="261"/>
      <c r="P27" s="113"/>
      <c r="Q27" s="113"/>
      <c r="R27" s="113"/>
      <c r="S27" s="113"/>
      <c r="T27" s="113"/>
      <c r="U27" s="257"/>
      <c r="V27" s="44"/>
      <c r="W27" s="261"/>
      <c r="X27" s="261"/>
      <c r="Y27" s="113"/>
      <c r="Z27" s="113"/>
      <c r="AA27" s="113"/>
      <c r="AB27" s="113"/>
      <c r="AC27" s="113"/>
      <c r="AD27" s="257"/>
      <c r="AE27" s="44"/>
      <c r="AF27" s="261"/>
      <c r="AG27" s="261"/>
      <c r="AH27" s="113"/>
      <c r="AI27" s="113"/>
      <c r="AJ27" s="113"/>
      <c r="AK27" s="113"/>
      <c r="AL27" s="113"/>
      <c r="AM27" s="257"/>
      <c r="AN27" s="44"/>
      <c r="AO27" s="261"/>
      <c r="AP27" s="261"/>
      <c r="AQ27" s="113"/>
      <c r="AR27" s="113"/>
      <c r="AS27" s="113"/>
      <c r="AT27" s="113"/>
      <c r="AU27" s="113"/>
      <c r="AV27" s="257"/>
      <c r="AW27" s="44"/>
      <c r="AX27" s="261"/>
      <c r="AY27" s="261"/>
      <c r="AZ27" s="113"/>
      <c r="BA27" s="113"/>
      <c r="BB27" s="113"/>
      <c r="BC27" s="113"/>
      <c r="BD27" s="113"/>
      <c r="BE27" s="257"/>
      <c r="BF27" s="44"/>
      <c r="BG27" s="261"/>
      <c r="BH27" s="261"/>
      <c r="BI27" s="113"/>
      <c r="BJ27" s="113"/>
      <c r="BK27" s="113"/>
      <c r="BL27" s="113"/>
      <c r="BM27" s="113"/>
      <c r="BN27" s="257"/>
      <c r="BO27" s="44"/>
      <c r="BP27" s="113"/>
      <c r="BQ27" s="44"/>
      <c r="BR27" s="113"/>
      <c r="BS27" s="44"/>
      <c r="BT27" s="113"/>
      <c r="BU27" s="44"/>
      <c r="BV27" s="113"/>
      <c r="BW27" s="113"/>
      <c r="BX27" s="44"/>
      <c r="BY27" s="113"/>
      <c r="BZ27" s="44"/>
    </row>
    <row r="28" spans="1:78" ht="16.5" x14ac:dyDescent="0.3">
      <c r="A28" s="98" t="str">
        <f>IF('Building Typology'!A28=0," ",'Building Typology'!A28)</f>
        <v>INSTITUTIONAL</v>
      </c>
      <c r="B28" s="44"/>
      <c r="C28" s="115"/>
      <c r="D28" s="115"/>
      <c r="E28" s="96"/>
      <c r="F28" s="96"/>
      <c r="G28" s="115"/>
      <c r="H28" s="115"/>
      <c r="I28" s="96"/>
      <c r="J28" s="96"/>
      <c r="K28" s="115"/>
      <c r="L28" s="115"/>
      <c r="M28" s="44"/>
      <c r="N28" s="96"/>
      <c r="O28" s="96"/>
      <c r="P28" s="115"/>
      <c r="Q28" s="115"/>
      <c r="R28" s="115"/>
      <c r="S28" s="115"/>
      <c r="T28" s="115"/>
      <c r="U28" s="258"/>
      <c r="V28" s="44"/>
      <c r="W28" s="96"/>
      <c r="X28" s="96"/>
      <c r="Y28" s="115"/>
      <c r="Z28" s="115"/>
      <c r="AA28" s="115"/>
      <c r="AB28" s="115"/>
      <c r="AC28" s="115"/>
      <c r="AD28" s="258"/>
      <c r="AE28" s="44"/>
      <c r="AF28" s="96"/>
      <c r="AG28" s="96"/>
      <c r="AH28" s="115"/>
      <c r="AI28" s="115"/>
      <c r="AJ28" s="115"/>
      <c r="AK28" s="115"/>
      <c r="AL28" s="115"/>
      <c r="AM28" s="258"/>
      <c r="AN28" s="44"/>
      <c r="AO28" s="96"/>
      <c r="AP28" s="96"/>
      <c r="AQ28" s="115"/>
      <c r="AR28" s="115"/>
      <c r="AS28" s="115"/>
      <c r="AT28" s="115"/>
      <c r="AU28" s="115"/>
      <c r="AV28" s="258"/>
      <c r="AW28" s="44"/>
      <c r="AX28" s="96"/>
      <c r="AY28" s="96"/>
      <c r="AZ28" s="115"/>
      <c r="BA28" s="115"/>
      <c r="BB28" s="115"/>
      <c r="BC28" s="115"/>
      <c r="BD28" s="115"/>
      <c r="BE28" s="258"/>
      <c r="BF28" s="44"/>
      <c r="BG28" s="96"/>
      <c r="BH28" s="96"/>
      <c r="BI28" s="115"/>
      <c r="BJ28" s="115"/>
      <c r="BK28" s="115"/>
      <c r="BL28" s="115"/>
      <c r="BM28" s="115"/>
      <c r="BN28" s="258"/>
      <c r="BO28" s="44"/>
      <c r="BP28" s="115"/>
      <c r="BQ28" s="44"/>
      <c r="BR28" s="115"/>
      <c r="BS28" s="44"/>
      <c r="BT28" s="115"/>
      <c r="BU28" s="44"/>
      <c r="BV28" s="115"/>
      <c r="BW28" s="115"/>
      <c r="BX28" s="44"/>
      <c r="BY28" s="115"/>
      <c r="BZ28" s="44"/>
    </row>
    <row r="29" spans="1:78" x14ac:dyDescent="0.3">
      <c r="A29" s="46" t="str">
        <f>IF('Building Typology'!A29=0," ",'Building Typology'!A29)</f>
        <v>High water use hospital (inpatient)</v>
      </c>
      <c r="B29" s="44"/>
      <c r="C29" s="260">
        <f>+('Building Typology'!Q29-'Building Typology'!S29)*1000000/'Building Typology'!$E29</f>
        <v>61.792287570657308</v>
      </c>
      <c r="D29" s="260">
        <f>+('Building Typology'!S29)*1000000/'Building Typology'!$E29</f>
        <v>10.632690118048247</v>
      </c>
      <c r="E29" s="259">
        <v>0</v>
      </c>
      <c r="F29" s="259">
        <v>0.9</v>
      </c>
      <c r="G29" s="111">
        <f t="shared" ref="G29:G31" si="39">+C29*E29</f>
        <v>0</v>
      </c>
      <c r="H29" s="111">
        <f t="shared" ref="H29:H31" si="40">+D29*F29</f>
        <v>9.5694211062434231</v>
      </c>
      <c r="I29" s="259">
        <v>0</v>
      </c>
      <c r="J29" s="259">
        <v>0.75</v>
      </c>
      <c r="K29" s="111">
        <f t="shared" ref="K29:L31" si="41">+G29*I29</f>
        <v>0</v>
      </c>
      <c r="L29" s="112">
        <f t="shared" si="41"/>
        <v>7.1770658296825669</v>
      </c>
      <c r="M29" s="44"/>
      <c r="N29" s="259">
        <v>0</v>
      </c>
      <c r="O29" s="259">
        <v>0.75</v>
      </c>
      <c r="P29" s="112">
        <f t="shared" ref="P29:Q31" si="42">IFERROR(SUM($K29,$L29)/N29,0)</f>
        <v>0</v>
      </c>
      <c r="Q29" s="112">
        <f t="shared" si="42"/>
        <v>9.5694211062434231</v>
      </c>
      <c r="R29" s="116">
        <f>+P29*'Global Inputs'!$F$30</f>
        <v>0</v>
      </c>
      <c r="S29" s="116">
        <f>Q29*'Global Inputs'!$F$31</f>
        <v>0.35975941177866916</v>
      </c>
      <c r="T29" s="116">
        <f>+P29*('Global Inputs'!$I$30-'Global Inputs'!$H$30)+'FS - Operational'!Q29*('Global Inputs'!$I$31-'Global Inputs'!$H$31)</f>
        <v>0.4449780814403192</v>
      </c>
      <c r="U29" s="256">
        <f>+R29+S29+T29</f>
        <v>0.80473749321898835</v>
      </c>
      <c r="V29" s="44"/>
      <c r="W29" s="259">
        <f>+$W$5</f>
        <v>2.8</v>
      </c>
      <c r="X29" s="259" t="str">
        <f>+AY29</f>
        <v>-</v>
      </c>
      <c r="Y29" s="112">
        <f t="shared" ref="Y29:Z31" si="43">IFERROR(SUM($K29,$L29)/W29,0)</f>
        <v>2.5632377963152027</v>
      </c>
      <c r="Z29" s="112">
        <f t="shared" si="43"/>
        <v>0</v>
      </c>
      <c r="AA29" s="116">
        <f>+Y29*'Global Inputs'!$F$30</f>
        <v>0.41011804741043245</v>
      </c>
      <c r="AB29" s="116">
        <f>Z29*'Global Inputs'!$F$33</f>
        <v>0</v>
      </c>
      <c r="AC29" s="116">
        <f>+Y29*('Global Inputs'!$I$30-'Global Inputs'!$H$30)+'FS - Operational'!Z29*('Global Inputs'!$I$31-'Global Inputs'!$H$31)</f>
        <v>2.9797639382164232E-2</v>
      </c>
      <c r="AD29" s="256">
        <f>+AA29+AB29+AC29</f>
        <v>0.43991568679259668</v>
      </c>
      <c r="AE29" s="44"/>
      <c r="AF29" s="259">
        <f>+$AF$5</f>
        <v>2.8</v>
      </c>
      <c r="AG29" s="259" t="str">
        <f t="shared" ref="AG29:AG31" si="44">+X29</f>
        <v>-</v>
      </c>
      <c r="AH29" s="112">
        <f t="shared" ref="AH29:AI31" si="45">IFERROR(SUM($K29,$L29)/AF29,0)</f>
        <v>2.5632377963152027</v>
      </c>
      <c r="AI29" s="112">
        <f t="shared" si="45"/>
        <v>0</v>
      </c>
      <c r="AJ29" s="116">
        <f>+AH29*'Global Inputs'!$F$30</f>
        <v>0.41011804741043245</v>
      </c>
      <c r="AK29" s="116">
        <f>AI29*'Global Inputs'!$F$33</f>
        <v>0</v>
      </c>
      <c r="AL29" s="116">
        <f>+AH29*('Global Inputs'!$I$30-'Global Inputs'!$H$30)+'FS - Operational'!AI29*('Global Inputs'!$I$31-'Global Inputs'!$H$31)</f>
        <v>2.9797639382164232E-2</v>
      </c>
      <c r="AM29" s="256">
        <f>+AJ29+AK29+AL29</f>
        <v>0.43991568679259668</v>
      </c>
      <c r="AN29" s="44"/>
      <c r="AO29" s="259">
        <f>+$AO$5</f>
        <v>3.1</v>
      </c>
      <c r="AP29" s="259" t="str">
        <f t="shared" ref="AP29:AP31" si="46">+AG29</f>
        <v>-</v>
      </c>
      <c r="AQ29" s="112">
        <f t="shared" ref="AQ29:AR31" si="47">IFERROR(SUM($K29,$L29)/AO29,0)</f>
        <v>2.3151825257040537</v>
      </c>
      <c r="AR29" s="112">
        <f t="shared" si="47"/>
        <v>0</v>
      </c>
      <c r="AS29" s="116">
        <f>+AQ29*'Global Inputs'!$F$30</f>
        <v>0.37042920411264862</v>
      </c>
      <c r="AT29" s="116">
        <f>AR29*'Global Inputs'!$F$33</f>
        <v>0</v>
      </c>
      <c r="AU29" s="116">
        <f>+AQ29*('Global Inputs'!$I$30-'Global Inputs'!$H$30)+'FS - Operational'!AR29*('Global Inputs'!$I$31-'Global Inputs'!$H$31)</f>
        <v>2.6913996861309623E-2</v>
      </c>
      <c r="AV29" s="256">
        <f>+AS29+AT29+AU29</f>
        <v>0.39734320097395825</v>
      </c>
      <c r="AW29" s="44"/>
      <c r="AX29" s="259">
        <f t="shared" ref="AX29:AX31" si="48">+$AX$5</f>
        <v>0.98</v>
      </c>
      <c r="AY29" s="259" t="s">
        <v>238</v>
      </c>
      <c r="AZ29" s="112">
        <f t="shared" ref="AZ29:BA31" si="49">IFERROR(SUM($K29,$L29)/AX29,0)</f>
        <v>7.3235365609005783</v>
      </c>
      <c r="BA29" s="112">
        <f t="shared" si="49"/>
        <v>0</v>
      </c>
      <c r="BB29" s="116">
        <f>+AZ29*'Global Inputs'!$F$30</f>
        <v>1.1717658497440926</v>
      </c>
      <c r="BC29" s="116">
        <f>BA29*'Global Inputs'!$F$33</f>
        <v>0</v>
      </c>
      <c r="BD29" s="116">
        <f>+AZ29*('Global Inputs'!$I$30-'Global Inputs'!$H$30)+'FS - Operational'!BA29*('Global Inputs'!$I$31-'Global Inputs'!$H$31)</f>
        <v>8.5136112520469223E-2</v>
      </c>
      <c r="BE29" s="256">
        <f>+BB29+BC29+BD29</f>
        <v>1.2569019622645619</v>
      </c>
      <c r="BF29" s="44"/>
      <c r="BG29" s="259">
        <f t="shared" ref="BG29:BH31" si="50">+N29</f>
        <v>0</v>
      </c>
      <c r="BH29" s="259">
        <f t="shared" si="50"/>
        <v>0.75</v>
      </c>
      <c r="BI29" s="112">
        <f t="shared" ref="BI29:BJ31" si="51">IFERROR(SUM($K29,$L29)/BG29,0)</f>
        <v>0</v>
      </c>
      <c r="BJ29" s="112">
        <f t="shared" si="51"/>
        <v>9.5694211062434231</v>
      </c>
      <c r="BK29" s="116">
        <f>+BI29*'Global Inputs'!$F$30</f>
        <v>0</v>
      </c>
      <c r="BL29" s="116">
        <f>BJ29*'Global Inputs'!$F$33</f>
        <v>1.8181900101862505</v>
      </c>
      <c r="BM29" s="116">
        <f>+BI29*('Global Inputs'!$I$30-'Global Inputs'!$H$30)+'FS - Operational'!BJ29*('Global Inputs'!$I$33-'Global Inputs'!$H$33)</f>
        <v>0.15892074337154258</v>
      </c>
      <c r="BN29" s="256">
        <f>+BK29+BL29+BM29</f>
        <v>1.977110753557793</v>
      </c>
      <c r="BO29" s="44"/>
      <c r="BP29" s="256">
        <f>+U29</f>
        <v>0.80473749321898835</v>
      </c>
      <c r="BQ29" s="44"/>
      <c r="BR29" s="256">
        <f>+AD29</f>
        <v>0.43991568679259668</v>
      </c>
      <c r="BS29" s="44"/>
      <c r="BT29" s="256">
        <f>+AM29</f>
        <v>0.43991568679259668</v>
      </c>
      <c r="BU29" s="44"/>
      <c r="BV29" s="256">
        <f>+AV29</f>
        <v>0.39734320097395825</v>
      </c>
      <c r="BW29" s="256">
        <f t="shared" ref="BW29:BW31" si="52">+BE29</f>
        <v>1.2569019622645619</v>
      </c>
      <c r="BX29" s="44"/>
      <c r="BY29" s="256">
        <f>+BN29</f>
        <v>1.977110753557793</v>
      </c>
      <c r="BZ29" s="44"/>
    </row>
    <row r="30" spans="1:78" x14ac:dyDescent="0.3">
      <c r="A30" s="46" t="str">
        <f>IF('Building Typology'!A30=0," ",'Building Typology'!A30)</f>
        <v>Low water use hospital (outpatient)</v>
      </c>
      <c r="B30" s="44"/>
      <c r="C30" s="260">
        <f>+('Building Typology'!Q30-'Building Typology'!S30)*1000000/'Building Typology'!$E30</f>
        <v>12.891535371633607</v>
      </c>
      <c r="D30" s="260">
        <f>+('Building Typology'!S30)*1000000/'Building Typology'!$E30</f>
        <v>10.632690118048247</v>
      </c>
      <c r="E30" s="259">
        <v>0</v>
      </c>
      <c r="F30" s="259">
        <v>0.9</v>
      </c>
      <c r="G30" s="111">
        <f t="shared" si="39"/>
        <v>0</v>
      </c>
      <c r="H30" s="111">
        <f t="shared" si="40"/>
        <v>9.5694211062434231</v>
      </c>
      <c r="I30" s="259">
        <v>0</v>
      </c>
      <c r="J30" s="259">
        <v>0.75</v>
      </c>
      <c r="K30" s="111">
        <f t="shared" si="41"/>
        <v>0</v>
      </c>
      <c r="L30" s="112">
        <f t="shared" si="41"/>
        <v>7.1770658296825669</v>
      </c>
      <c r="M30" s="44"/>
      <c r="N30" s="259">
        <v>0</v>
      </c>
      <c r="O30" s="259">
        <v>0.75</v>
      </c>
      <c r="P30" s="112">
        <f t="shared" si="42"/>
        <v>0</v>
      </c>
      <c r="Q30" s="112">
        <f t="shared" si="42"/>
        <v>9.5694211062434231</v>
      </c>
      <c r="R30" s="116">
        <f>+P30*'Global Inputs'!$F$30</f>
        <v>0</v>
      </c>
      <c r="S30" s="116">
        <f>Q30*'Global Inputs'!$F$31</f>
        <v>0.35975941177866916</v>
      </c>
      <c r="T30" s="116">
        <f>+P30*('Global Inputs'!$I$30-'Global Inputs'!$H$30)+'FS - Operational'!Q30*('Global Inputs'!$I$31-'Global Inputs'!$H$31)</f>
        <v>0.4449780814403192</v>
      </c>
      <c r="U30" s="256">
        <f>+R30+S30+T30</f>
        <v>0.80473749321898835</v>
      </c>
      <c r="V30" s="44"/>
      <c r="W30" s="259">
        <f>+$W$5</f>
        <v>2.8</v>
      </c>
      <c r="X30" s="259" t="str">
        <f>+AY30</f>
        <v>-</v>
      </c>
      <c r="Y30" s="112">
        <f t="shared" si="43"/>
        <v>2.5632377963152027</v>
      </c>
      <c r="Z30" s="112">
        <f t="shared" si="43"/>
        <v>0</v>
      </c>
      <c r="AA30" s="116">
        <f>+Y30*'Global Inputs'!$F$30</f>
        <v>0.41011804741043245</v>
      </c>
      <c r="AB30" s="116">
        <f>Z30*'Global Inputs'!$F$33</f>
        <v>0</v>
      </c>
      <c r="AC30" s="116">
        <f>+Y30*('Global Inputs'!$I$30-'Global Inputs'!$H$30)+'FS - Operational'!Z30*('Global Inputs'!$I$31-'Global Inputs'!$H$31)</f>
        <v>2.9797639382164232E-2</v>
      </c>
      <c r="AD30" s="256">
        <f>+AA30+AB30+AC30</f>
        <v>0.43991568679259668</v>
      </c>
      <c r="AE30" s="44"/>
      <c r="AF30" s="259">
        <f>+$AF$5</f>
        <v>2.8</v>
      </c>
      <c r="AG30" s="259" t="str">
        <f t="shared" si="44"/>
        <v>-</v>
      </c>
      <c r="AH30" s="112">
        <f t="shared" si="45"/>
        <v>2.5632377963152027</v>
      </c>
      <c r="AI30" s="112">
        <f t="shared" si="45"/>
        <v>0</v>
      </c>
      <c r="AJ30" s="116">
        <f>+AH30*'Global Inputs'!$F$30</f>
        <v>0.41011804741043245</v>
      </c>
      <c r="AK30" s="116">
        <f>AI30*'Global Inputs'!$F$33</f>
        <v>0</v>
      </c>
      <c r="AL30" s="116">
        <f>+AH30*('Global Inputs'!$I$30-'Global Inputs'!$H$30)+'FS - Operational'!AI30*('Global Inputs'!$I$31-'Global Inputs'!$H$31)</f>
        <v>2.9797639382164232E-2</v>
      </c>
      <c r="AM30" s="256">
        <f>+AJ30+AK30+AL30</f>
        <v>0.43991568679259668</v>
      </c>
      <c r="AN30" s="44"/>
      <c r="AO30" s="259">
        <f>+$AO$5</f>
        <v>3.1</v>
      </c>
      <c r="AP30" s="259" t="str">
        <f t="shared" si="46"/>
        <v>-</v>
      </c>
      <c r="AQ30" s="112">
        <f t="shared" si="47"/>
        <v>2.3151825257040537</v>
      </c>
      <c r="AR30" s="112">
        <f t="shared" si="47"/>
        <v>0</v>
      </c>
      <c r="AS30" s="116">
        <f>+AQ30*'Global Inputs'!$F$30</f>
        <v>0.37042920411264862</v>
      </c>
      <c r="AT30" s="116">
        <f>AR30*'Global Inputs'!$F$33</f>
        <v>0</v>
      </c>
      <c r="AU30" s="116">
        <f>+AQ30*('Global Inputs'!$I$30-'Global Inputs'!$H$30)+'FS - Operational'!AR30*('Global Inputs'!$I$31-'Global Inputs'!$H$31)</f>
        <v>2.6913996861309623E-2</v>
      </c>
      <c r="AV30" s="256">
        <f>+AS30+AT30+AU30</f>
        <v>0.39734320097395825</v>
      </c>
      <c r="AW30" s="44"/>
      <c r="AX30" s="259">
        <f t="shared" si="48"/>
        <v>0.98</v>
      </c>
      <c r="AY30" s="259" t="s">
        <v>238</v>
      </c>
      <c r="AZ30" s="112">
        <f t="shared" si="49"/>
        <v>7.3235365609005783</v>
      </c>
      <c r="BA30" s="112">
        <f t="shared" si="49"/>
        <v>0</v>
      </c>
      <c r="BB30" s="116">
        <f>+AZ30*'Global Inputs'!$F$30</f>
        <v>1.1717658497440926</v>
      </c>
      <c r="BC30" s="116">
        <f>BA30*'Global Inputs'!$F$33</f>
        <v>0</v>
      </c>
      <c r="BD30" s="116">
        <f>+AZ30*('Global Inputs'!$I$30-'Global Inputs'!$H$30)+'FS - Operational'!BA30*('Global Inputs'!$I$31-'Global Inputs'!$H$31)</f>
        <v>8.5136112520469223E-2</v>
      </c>
      <c r="BE30" s="256">
        <f>+BB30+BC30+BD30</f>
        <v>1.2569019622645619</v>
      </c>
      <c r="BF30" s="44"/>
      <c r="BG30" s="259">
        <f t="shared" si="50"/>
        <v>0</v>
      </c>
      <c r="BH30" s="259">
        <f t="shared" si="50"/>
        <v>0.75</v>
      </c>
      <c r="BI30" s="112">
        <f t="shared" si="51"/>
        <v>0</v>
      </c>
      <c r="BJ30" s="112">
        <f t="shared" si="51"/>
        <v>9.5694211062434231</v>
      </c>
      <c r="BK30" s="116">
        <f>+BI30*'Global Inputs'!$F$30</f>
        <v>0</v>
      </c>
      <c r="BL30" s="116">
        <f>BJ30*'Global Inputs'!$F$33</f>
        <v>1.8181900101862505</v>
      </c>
      <c r="BM30" s="116">
        <f>+BI30*('Global Inputs'!$I$30-'Global Inputs'!$H$30)+'FS - Operational'!BJ30*('Global Inputs'!$I$33-'Global Inputs'!$H$33)</f>
        <v>0.15892074337154258</v>
      </c>
      <c r="BN30" s="256">
        <f>+BK30+BL30+BM30</f>
        <v>1.977110753557793</v>
      </c>
      <c r="BO30" s="44"/>
      <c r="BP30" s="256">
        <f>+U30</f>
        <v>0.80473749321898835</v>
      </c>
      <c r="BQ30" s="44"/>
      <c r="BR30" s="256">
        <f>+AD30</f>
        <v>0.43991568679259668</v>
      </c>
      <c r="BS30" s="44"/>
      <c r="BT30" s="256">
        <f>+AM30</f>
        <v>0.43991568679259668</v>
      </c>
      <c r="BU30" s="44"/>
      <c r="BV30" s="256">
        <f>+AV30</f>
        <v>0.39734320097395825</v>
      </c>
      <c r="BW30" s="256">
        <f t="shared" si="52"/>
        <v>1.2569019622645619</v>
      </c>
      <c r="BX30" s="44"/>
      <c r="BY30" s="256">
        <f>+BN30</f>
        <v>1.977110753557793</v>
      </c>
      <c r="BZ30" s="44"/>
    </row>
    <row r="31" spans="1:78" x14ac:dyDescent="0.3">
      <c r="A31" s="46" t="str">
        <f>IF('Building Typology'!A31=0," ",'Building Typology'!A31)</f>
        <v>Assembly &amp; educational</v>
      </c>
      <c r="B31" s="44"/>
      <c r="C31" s="260">
        <f>+('Building Typology'!Q31-'Building Typology'!S31)*1000000/'Building Typology'!$E31</f>
        <v>28.543480677760517</v>
      </c>
      <c r="D31" s="260">
        <f>+('Building Typology'!S31)*1000000/'Building Typology'!$E31</f>
        <v>10.632690118048247</v>
      </c>
      <c r="E31" s="259">
        <v>0</v>
      </c>
      <c r="F31" s="259">
        <v>0.9</v>
      </c>
      <c r="G31" s="111">
        <f t="shared" si="39"/>
        <v>0</v>
      </c>
      <c r="H31" s="111">
        <f t="shared" si="40"/>
        <v>9.5694211062434231</v>
      </c>
      <c r="I31" s="259">
        <v>0</v>
      </c>
      <c r="J31" s="259">
        <v>0.85</v>
      </c>
      <c r="K31" s="111">
        <f t="shared" si="41"/>
        <v>0</v>
      </c>
      <c r="L31" s="112">
        <f t="shared" si="41"/>
        <v>8.1340079403069101</v>
      </c>
      <c r="M31" s="44"/>
      <c r="N31" s="259">
        <v>0</v>
      </c>
      <c r="O31" s="259">
        <v>0.85</v>
      </c>
      <c r="P31" s="112">
        <f t="shared" si="42"/>
        <v>0</v>
      </c>
      <c r="Q31" s="112">
        <f t="shared" si="42"/>
        <v>9.5694211062434231</v>
      </c>
      <c r="R31" s="116">
        <f>+P31*'Global Inputs'!$F$30</f>
        <v>0</v>
      </c>
      <c r="S31" s="116">
        <f>Q31*'Global Inputs'!$F$31</f>
        <v>0.35975941177866916</v>
      </c>
      <c r="T31" s="116">
        <f>+P31*('Global Inputs'!$I$30-'Global Inputs'!$H$30)+'FS - Operational'!Q31*('Global Inputs'!$I$31-'Global Inputs'!$H$31)</f>
        <v>0.4449780814403192</v>
      </c>
      <c r="U31" s="256">
        <f>+R31+S31+T31</f>
        <v>0.80473749321898835</v>
      </c>
      <c r="V31" s="44"/>
      <c r="W31" s="259">
        <f>+$W$5</f>
        <v>2.8</v>
      </c>
      <c r="X31" s="259" t="str">
        <f>+AY31</f>
        <v>-</v>
      </c>
      <c r="Y31" s="112">
        <f t="shared" si="43"/>
        <v>2.9050028358238968</v>
      </c>
      <c r="Z31" s="112">
        <f t="shared" si="43"/>
        <v>0</v>
      </c>
      <c r="AA31" s="116">
        <f>+Y31*'Global Inputs'!$F$30</f>
        <v>0.46480045373182349</v>
      </c>
      <c r="AB31" s="116">
        <f>Z31*'Global Inputs'!$F$33</f>
        <v>0</v>
      </c>
      <c r="AC31" s="116">
        <f>+Y31*('Global Inputs'!$I$30-'Global Inputs'!$H$30)+'FS - Operational'!Z31*('Global Inputs'!$I$31-'Global Inputs'!$H$31)</f>
        <v>3.3770657966452802E-2</v>
      </c>
      <c r="AD31" s="256">
        <f>+AA31+AB31+AC31</f>
        <v>0.49857111169827628</v>
      </c>
      <c r="AE31" s="44"/>
      <c r="AF31" s="259">
        <f>+$AF$5</f>
        <v>2.8</v>
      </c>
      <c r="AG31" s="259" t="str">
        <f t="shared" si="44"/>
        <v>-</v>
      </c>
      <c r="AH31" s="112">
        <f t="shared" si="45"/>
        <v>2.9050028358238968</v>
      </c>
      <c r="AI31" s="112">
        <f t="shared" si="45"/>
        <v>0</v>
      </c>
      <c r="AJ31" s="116">
        <f>+AH31*'Global Inputs'!$F$30</f>
        <v>0.46480045373182349</v>
      </c>
      <c r="AK31" s="116">
        <f>AI31*'Global Inputs'!$F$33</f>
        <v>0</v>
      </c>
      <c r="AL31" s="116">
        <f>+AH31*('Global Inputs'!$I$30-'Global Inputs'!$H$30)+'FS - Operational'!AI31*('Global Inputs'!$I$31-'Global Inputs'!$H$31)</f>
        <v>3.3770657966452802E-2</v>
      </c>
      <c r="AM31" s="256">
        <f>+AJ31+AK31+AL31</f>
        <v>0.49857111169827628</v>
      </c>
      <c r="AN31" s="44"/>
      <c r="AO31" s="259">
        <f>+$AO$5</f>
        <v>3.1</v>
      </c>
      <c r="AP31" s="259" t="str">
        <f t="shared" si="46"/>
        <v>-</v>
      </c>
      <c r="AQ31" s="112">
        <f t="shared" si="47"/>
        <v>2.6238735291312612</v>
      </c>
      <c r="AR31" s="112">
        <f t="shared" si="47"/>
        <v>0</v>
      </c>
      <c r="AS31" s="116">
        <f>+AQ31*'Global Inputs'!$F$30</f>
        <v>0.41981976466100179</v>
      </c>
      <c r="AT31" s="116">
        <f>AR31*'Global Inputs'!$F$33</f>
        <v>0</v>
      </c>
      <c r="AU31" s="116">
        <f>+AQ31*('Global Inputs'!$I$30-'Global Inputs'!$H$30)+'FS - Operational'!AR31*('Global Inputs'!$I$31-'Global Inputs'!$H$31)</f>
        <v>3.0502529776150911E-2</v>
      </c>
      <c r="AV31" s="256">
        <f>+AS31+AT31+AU31</f>
        <v>0.45032229443715271</v>
      </c>
      <c r="AW31" s="44"/>
      <c r="AX31" s="259">
        <f t="shared" si="48"/>
        <v>0.98</v>
      </c>
      <c r="AY31" s="259" t="s">
        <v>238</v>
      </c>
      <c r="AZ31" s="112">
        <f t="shared" si="49"/>
        <v>8.3000081023539902</v>
      </c>
      <c r="BA31" s="112">
        <f t="shared" si="49"/>
        <v>0</v>
      </c>
      <c r="BB31" s="116">
        <f>+AZ31*'Global Inputs'!$F$30</f>
        <v>1.3280012963766386</v>
      </c>
      <c r="BC31" s="116">
        <f>BA31*'Global Inputs'!$F$33</f>
        <v>0</v>
      </c>
      <c r="BD31" s="116">
        <f>+AZ31*('Global Inputs'!$I$30-'Global Inputs'!$H$30)+'FS - Operational'!BA31*('Global Inputs'!$I$31-'Global Inputs'!$H$31)</f>
        <v>9.6487594189865133E-2</v>
      </c>
      <c r="BE31" s="256">
        <f>+BB31+BC31+BD31</f>
        <v>1.4244888905665036</v>
      </c>
      <c r="BF31" s="44"/>
      <c r="BG31" s="259">
        <f t="shared" si="50"/>
        <v>0</v>
      </c>
      <c r="BH31" s="259">
        <f t="shared" si="50"/>
        <v>0.85</v>
      </c>
      <c r="BI31" s="112">
        <f t="shared" si="51"/>
        <v>0</v>
      </c>
      <c r="BJ31" s="112">
        <f t="shared" si="51"/>
        <v>9.5694211062434231</v>
      </c>
      <c r="BK31" s="116">
        <f>+BI31*'Global Inputs'!$F$30</f>
        <v>0</v>
      </c>
      <c r="BL31" s="116">
        <f>BJ31*'Global Inputs'!$F$33</f>
        <v>1.8181900101862505</v>
      </c>
      <c r="BM31" s="116">
        <f>+BI31*('Global Inputs'!$I$30-'Global Inputs'!$H$30)+'FS - Operational'!BJ31*('Global Inputs'!$I$33-'Global Inputs'!$H$33)</f>
        <v>0.15892074337154258</v>
      </c>
      <c r="BN31" s="256">
        <f>+BK31+BL31+BM31</f>
        <v>1.977110753557793</v>
      </c>
      <c r="BO31" s="44"/>
      <c r="BP31" s="256">
        <f>+U31</f>
        <v>0.80473749321898835</v>
      </c>
      <c r="BQ31" s="44"/>
      <c r="BR31" s="256">
        <f>+AD31</f>
        <v>0.49857111169827628</v>
      </c>
      <c r="BS31" s="44"/>
      <c r="BT31" s="256">
        <f>+AM31</f>
        <v>0.49857111169827628</v>
      </c>
      <c r="BU31" s="44"/>
      <c r="BV31" s="256">
        <f>+AV31</f>
        <v>0.45032229443715271</v>
      </c>
      <c r="BW31" s="256">
        <f t="shared" si="52"/>
        <v>1.4244888905665036</v>
      </c>
      <c r="BX31" s="44"/>
      <c r="BY31" s="256">
        <f>+BN31</f>
        <v>1.977110753557793</v>
      </c>
      <c r="BZ31" s="44"/>
    </row>
    <row r="32" spans="1:78" x14ac:dyDescent="0.3">
      <c r="A32" s="44" t="str">
        <f>IF('Building Typology'!A32=0," ",'Building Typology'!A32)</f>
        <v xml:space="preserve"> </v>
      </c>
      <c r="B32" s="44"/>
      <c r="C32" s="113"/>
      <c r="D32" s="113"/>
      <c r="E32" s="113"/>
      <c r="F32" s="113"/>
      <c r="G32" s="113"/>
      <c r="H32" s="113"/>
      <c r="I32" s="113"/>
      <c r="J32" s="113"/>
      <c r="K32" s="113"/>
      <c r="L32" s="113"/>
      <c r="M32" s="44"/>
      <c r="N32" s="113"/>
      <c r="O32" s="113"/>
      <c r="P32" s="113"/>
      <c r="Q32" s="113"/>
      <c r="R32" s="113"/>
      <c r="S32" s="113"/>
      <c r="T32" s="113"/>
      <c r="U32" s="257"/>
      <c r="V32" s="44"/>
      <c r="W32" s="113"/>
      <c r="X32" s="113"/>
      <c r="Y32" s="113"/>
      <c r="Z32" s="113"/>
      <c r="AA32" s="113"/>
      <c r="AB32" s="113"/>
      <c r="AC32" s="113"/>
      <c r="AD32" s="257"/>
      <c r="AE32" s="44"/>
      <c r="AF32" s="113"/>
      <c r="AG32" s="113"/>
      <c r="AH32" s="113"/>
      <c r="AI32" s="113"/>
      <c r="AJ32" s="113"/>
      <c r="AK32" s="113"/>
      <c r="AL32" s="113"/>
      <c r="AM32" s="257"/>
      <c r="AN32" s="44"/>
      <c r="AO32" s="113"/>
      <c r="AP32" s="113"/>
      <c r="AQ32" s="113"/>
      <c r="AR32" s="113"/>
      <c r="AS32" s="113"/>
      <c r="AT32" s="113"/>
      <c r="AU32" s="113"/>
      <c r="AV32" s="257"/>
      <c r="AW32" s="44"/>
      <c r="AX32" s="113"/>
      <c r="AY32" s="113"/>
      <c r="AZ32" s="113"/>
      <c r="BA32" s="113"/>
      <c r="BB32" s="113"/>
      <c r="BC32" s="113"/>
      <c r="BD32" s="113"/>
      <c r="BE32" s="257"/>
      <c r="BF32" s="44"/>
      <c r="BG32" s="113"/>
      <c r="BH32" s="113"/>
      <c r="BI32" s="113"/>
      <c r="BJ32" s="113"/>
      <c r="BK32" s="113"/>
      <c r="BL32" s="113"/>
      <c r="BM32" s="113"/>
      <c r="BN32" s="257"/>
      <c r="BO32" s="44"/>
      <c r="BP32" s="113"/>
      <c r="BQ32" s="44"/>
      <c r="BR32" s="113"/>
      <c r="BS32" s="44"/>
      <c r="BT32" s="113"/>
      <c r="BU32" s="44"/>
      <c r="BV32" s="113"/>
      <c r="BW32" s="113"/>
      <c r="BX32" s="44"/>
      <c r="BY32" s="113"/>
      <c r="BZ32" s="44"/>
    </row>
    <row r="34" spans="3:66" x14ac:dyDescent="0.3">
      <c r="C34" s="241"/>
      <c r="D34" s="241"/>
      <c r="E34" s="241"/>
      <c r="F34" s="241"/>
      <c r="G34" s="241"/>
      <c r="H34" s="241"/>
      <c r="I34" s="241"/>
      <c r="J34" s="241"/>
      <c r="K34" s="241"/>
      <c r="L34" s="241"/>
      <c r="N34" s="241"/>
      <c r="O34" s="241"/>
      <c r="R34" s="241"/>
      <c r="S34" s="241"/>
      <c r="T34" s="241"/>
      <c r="U34" s="241"/>
      <c r="W34" s="241"/>
      <c r="X34" s="241"/>
      <c r="AA34" s="241"/>
      <c r="AB34" s="241"/>
      <c r="AC34" s="241"/>
      <c r="AD34" s="241"/>
      <c r="AF34" s="241"/>
      <c r="AG34" s="241"/>
      <c r="AJ34" s="241"/>
      <c r="AK34" s="241"/>
      <c r="AL34" s="241"/>
      <c r="AM34" s="241"/>
      <c r="AO34" s="241"/>
      <c r="AP34" s="241"/>
      <c r="AS34" s="241"/>
      <c r="AT34" s="241"/>
      <c r="AU34" s="241"/>
      <c r="AV34" s="241"/>
      <c r="AX34" s="241"/>
      <c r="AY34" s="241"/>
      <c r="BB34" s="241"/>
      <c r="BC34" s="241"/>
      <c r="BD34" s="241"/>
      <c r="BE34" s="241"/>
      <c r="BG34" s="241"/>
      <c r="BH34" s="241"/>
      <c r="BK34" s="241"/>
      <c r="BL34" s="241"/>
      <c r="BM34" s="241"/>
      <c r="BN34" s="241"/>
    </row>
  </sheetData>
  <mergeCells count="24">
    <mergeCell ref="AJ2:AM2"/>
    <mergeCell ref="AO2:AP2"/>
    <mergeCell ref="AQ2:AR2"/>
    <mergeCell ref="AS2:AV2"/>
    <mergeCell ref="W2:X2"/>
    <mergeCell ref="Y2:Z2"/>
    <mergeCell ref="AA2:AD2"/>
    <mergeCell ref="AF2:AG2"/>
    <mergeCell ref="AH2:AI2"/>
    <mergeCell ref="BG2:BH2"/>
    <mergeCell ref="BI2:BJ2"/>
    <mergeCell ref="BK2:BN2"/>
    <mergeCell ref="AX2:AY2"/>
    <mergeCell ref="AZ2:BA2"/>
    <mergeCell ref="BB2:BE2"/>
    <mergeCell ref="K2:L2"/>
    <mergeCell ref="N2:O2"/>
    <mergeCell ref="P2:Q2"/>
    <mergeCell ref="R2:U2"/>
    <mergeCell ref="A1:A2"/>
    <mergeCell ref="C2:D2"/>
    <mergeCell ref="E2:F2"/>
    <mergeCell ref="G2:H2"/>
    <mergeCell ref="I2:J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3D3C-F8C5-416B-A12C-6437CF401A98}">
  <sheetPr>
    <tabColor theme="7" tint="0.59999389629810485"/>
  </sheetPr>
  <dimension ref="A1:AL32"/>
  <sheetViews>
    <sheetView showGridLines="0" zoomScale="70" zoomScaleNormal="70" workbookViewId="0">
      <pane xSplit="2" ySplit="3" topLeftCell="C4" activePane="bottomRight" state="frozen"/>
      <selection pane="topRight" activeCell="C1" sqref="C1"/>
      <selection pane="bottomLeft" activeCell="A4" sqref="A4"/>
      <selection pane="bottomRight" sqref="A1:A2"/>
    </sheetView>
    <sheetView zoomScale="80" zoomScaleNormal="80" workbookViewId="1">
      <selection activeCell="AC39" sqref="AC39"/>
    </sheetView>
  </sheetViews>
  <sheetFormatPr defaultColWidth="8.77734375" defaultRowHeight="15.75" outlineLevelCol="1" x14ac:dyDescent="0.3"/>
  <cols>
    <col min="1" max="1" width="32.77734375" customWidth="1"/>
    <col min="2" max="2" width="2.6640625" style="10" customWidth="1"/>
    <col min="3" max="7" width="11.77734375" style="10" customWidth="1" outlineLevel="1"/>
    <col min="8" max="8" width="2.6640625" style="10" customWidth="1"/>
    <col min="9" max="13" width="11.77734375" style="10" customWidth="1" outlineLevel="1"/>
    <col min="14" max="14" width="2.6640625" style="10" customWidth="1"/>
    <col min="15" max="19" width="11.77734375" style="10" customWidth="1" outlineLevel="1"/>
    <col min="20" max="20" width="2.6640625" style="10" customWidth="1"/>
    <col min="21" max="25" width="11.77734375" style="10" customWidth="1" outlineLevel="1"/>
    <col min="26" max="26" width="2.6640625" style="10" customWidth="1"/>
    <col min="27" max="31" width="11.77734375" style="10" customWidth="1" outlineLevel="1"/>
    <col min="32" max="32" width="2.6640625" style="10" customWidth="1"/>
    <col min="33" max="37" width="11.77734375" style="10" customWidth="1" outlineLevel="1"/>
    <col min="38" max="38" width="2.6640625" style="10" customWidth="1"/>
    <col min="39" max="16384" width="8.77734375" style="10"/>
  </cols>
  <sheetData>
    <row r="1" spans="1:38" ht="69.75" customHeight="1" x14ac:dyDescent="0.3">
      <c r="A1" s="324" t="s">
        <v>39</v>
      </c>
      <c r="B1" s="9"/>
      <c r="C1" s="61" t="s">
        <v>311</v>
      </c>
      <c r="D1" s="61"/>
      <c r="E1" s="61"/>
      <c r="F1" s="61"/>
      <c r="G1" s="61"/>
      <c r="H1" s="9"/>
      <c r="I1" s="61" t="s">
        <v>77</v>
      </c>
      <c r="J1" s="61"/>
      <c r="K1" s="61"/>
      <c r="L1" s="61"/>
      <c r="M1" s="61"/>
      <c r="N1" s="9"/>
      <c r="O1" s="61" t="s">
        <v>78</v>
      </c>
      <c r="P1" s="61"/>
      <c r="Q1" s="61"/>
      <c r="R1" s="61"/>
      <c r="S1" s="61"/>
      <c r="T1" s="9"/>
      <c r="U1" s="61" t="s">
        <v>79</v>
      </c>
      <c r="V1" s="61"/>
      <c r="W1" s="61"/>
      <c r="X1" s="61"/>
      <c r="Y1" s="61"/>
      <c r="Z1" s="9"/>
      <c r="AA1" s="61" t="s">
        <v>76</v>
      </c>
      <c r="AB1" s="61"/>
      <c r="AC1" s="61"/>
      <c r="AD1" s="61"/>
      <c r="AE1" s="61"/>
      <c r="AF1" s="9"/>
      <c r="AG1" s="61" t="s">
        <v>75</v>
      </c>
      <c r="AH1" s="61"/>
      <c r="AI1" s="61"/>
      <c r="AJ1" s="61"/>
      <c r="AK1" s="61"/>
      <c r="AL1" s="9"/>
    </row>
    <row r="2" spans="1:38" s="8" customFormat="1" ht="63" x14ac:dyDescent="0.3">
      <c r="A2" s="324"/>
      <c r="B2" s="9"/>
      <c r="C2" s="214" t="s">
        <v>181</v>
      </c>
      <c r="D2" s="214" t="s">
        <v>187</v>
      </c>
      <c r="E2" s="214" t="s">
        <v>187</v>
      </c>
      <c r="F2" s="214" t="s">
        <v>188</v>
      </c>
      <c r="G2" s="214" t="s">
        <v>189</v>
      </c>
      <c r="H2" s="213"/>
      <c r="I2" s="214" t="s">
        <v>181</v>
      </c>
      <c r="J2" s="214" t="s">
        <v>187</v>
      </c>
      <c r="K2" s="214" t="s">
        <v>187</v>
      </c>
      <c r="L2" s="214" t="s">
        <v>188</v>
      </c>
      <c r="M2" s="214" t="s">
        <v>189</v>
      </c>
      <c r="N2" s="213"/>
      <c r="O2" s="214" t="s">
        <v>181</v>
      </c>
      <c r="P2" s="214" t="s">
        <v>187</v>
      </c>
      <c r="Q2" s="214" t="s">
        <v>187</v>
      </c>
      <c r="R2" s="214" t="s">
        <v>188</v>
      </c>
      <c r="S2" s="214" t="s">
        <v>189</v>
      </c>
      <c r="T2" s="213"/>
      <c r="U2" s="214" t="s">
        <v>181</v>
      </c>
      <c r="V2" s="214" t="s">
        <v>187</v>
      </c>
      <c r="W2" s="214" t="s">
        <v>187</v>
      </c>
      <c r="X2" s="214" t="s">
        <v>188</v>
      </c>
      <c r="Y2" s="214" t="s">
        <v>189</v>
      </c>
      <c r="Z2" s="213"/>
      <c r="AA2" s="214" t="s">
        <v>181</v>
      </c>
      <c r="AB2" s="214" t="s">
        <v>187</v>
      </c>
      <c r="AC2" s="214" t="s">
        <v>187</v>
      </c>
      <c r="AD2" s="214" t="s">
        <v>188</v>
      </c>
      <c r="AE2" s="214" t="s">
        <v>189</v>
      </c>
      <c r="AF2" s="213"/>
      <c r="AG2" s="214" t="s">
        <v>181</v>
      </c>
      <c r="AH2" s="214" t="s">
        <v>187</v>
      </c>
      <c r="AI2" s="214" t="s">
        <v>187</v>
      </c>
      <c r="AJ2" s="214" t="s">
        <v>188</v>
      </c>
      <c r="AK2" s="214" t="s">
        <v>189</v>
      </c>
      <c r="AL2" s="213"/>
    </row>
    <row r="3" spans="1:38" s="8" customFormat="1" x14ac:dyDescent="0.3">
      <c r="A3" s="20" t="s">
        <v>15</v>
      </c>
      <c r="B3" s="20"/>
      <c r="C3" s="215" t="s">
        <v>184</v>
      </c>
      <c r="D3" s="215" t="s">
        <v>190</v>
      </c>
      <c r="E3" s="215" t="s">
        <v>191</v>
      </c>
      <c r="F3" s="215" t="s">
        <v>191</v>
      </c>
      <c r="G3" s="215" t="s">
        <v>191</v>
      </c>
      <c r="H3" s="213"/>
      <c r="I3" s="215" t="s">
        <v>184</v>
      </c>
      <c r="J3" s="215" t="s">
        <v>190</v>
      </c>
      <c r="K3" s="215" t="s">
        <v>191</v>
      </c>
      <c r="L3" s="215" t="s">
        <v>191</v>
      </c>
      <c r="M3" s="215" t="s">
        <v>191</v>
      </c>
      <c r="N3" s="213"/>
      <c r="O3" s="215" t="s">
        <v>184</v>
      </c>
      <c r="P3" s="215" t="s">
        <v>190</v>
      </c>
      <c r="Q3" s="215" t="s">
        <v>191</v>
      </c>
      <c r="R3" s="215" t="s">
        <v>191</v>
      </c>
      <c r="S3" s="215" t="s">
        <v>191</v>
      </c>
      <c r="T3" s="213"/>
      <c r="U3" s="215" t="s">
        <v>184</v>
      </c>
      <c r="V3" s="215" t="s">
        <v>190</v>
      </c>
      <c r="W3" s="215" t="s">
        <v>191</v>
      </c>
      <c r="X3" s="215" t="s">
        <v>191</v>
      </c>
      <c r="Y3" s="215" t="s">
        <v>191</v>
      </c>
      <c r="Z3" s="213"/>
      <c r="AA3" s="215" t="s">
        <v>184</v>
      </c>
      <c r="AB3" s="215" t="s">
        <v>190</v>
      </c>
      <c r="AC3" s="215" t="s">
        <v>191</v>
      </c>
      <c r="AD3" s="215" t="s">
        <v>191</v>
      </c>
      <c r="AE3" s="215" t="s">
        <v>191</v>
      </c>
      <c r="AF3" s="213"/>
      <c r="AG3" s="215" t="s">
        <v>184</v>
      </c>
      <c r="AH3" s="215" t="s">
        <v>190</v>
      </c>
      <c r="AI3" s="215" t="s">
        <v>191</v>
      </c>
      <c r="AJ3" s="215" t="s">
        <v>191</v>
      </c>
      <c r="AK3" s="215" t="s">
        <v>191</v>
      </c>
      <c r="AL3" s="213"/>
    </row>
    <row r="4" spans="1:38" ht="20.25" customHeight="1" x14ac:dyDescent="0.3">
      <c r="A4" s="98" t="str">
        <f>IF('Building Typology'!A4=0," ",'Building Typology'!A4)</f>
        <v>OFFICE</v>
      </c>
      <c r="B4" s="44"/>
      <c r="C4" s="100"/>
      <c r="D4" s="100"/>
      <c r="E4" s="46"/>
      <c r="F4" s="46"/>
      <c r="G4" s="46"/>
      <c r="H4" s="44"/>
      <c r="I4" s="100"/>
      <c r="J4" s="100"/>
      <c r="K4" s="46"/>
      <c r="L4" s="46"/>
      <c r="M4" s="46"/>
      <c r="N4" s="44"/>
      <c r="O4" s="100"/>
      <c r="P4" s="100"/>
      <c r="Q4" s="46"/>
      <c r="R4" s="46"/>
      <c r="S4" s="46"/>
      <c r="T4" s="44"/>
      <c r="U4" s="100"/>
      <c r="V4" s="100"/>
      <c r="W4" s="46"/>
      <c r="X4" s="46"/>
      <c r="Y4" s="46"/>
      <c r="Z4" s="44"/>
      <c r="AA4" s="100"/>
      <c r="AB4" s="100"/>
      <c r="AC4" s="46"/>
      <c r="AD4" s="46"/>
      <c r="AE4" s="46"/>
      <c r="AF4" s="44"/>
      <c r="AG4" s="100"/>
      <c r="AH4" s="100"/>
      <c r="AI4" s="46"/>
      <c r="AJ4" s="46"/>
      <c r="AK4" s="46"/>
      <c r="AL4" s="44"/>
    </row>
    <row r="5" spans="1:38" x14ac:dyDescent="0.3">
      <c r="A5" s="46" t="str">
        <f>IF('Building Typology'!A5=0," ",'Building Typology'!A5)</f>
        <v>Class 'A' - gas boiler</v>
      </c>
      <c r="B5" s="44"/>
      <c r="C5" s="100">
        <f>'FS - Capital Output'!K5</f>
        <v>4699265.9360821657</v>
      </c>
      <c r="D5" s="117">
        <f>IF('Building Typology'!$O5="Gas",(C5*'Global Inputs'!$D$42),0)</f>
        <v>377081.25660831883</v>
      </c>
      <c r="E5" s="115">
        <f>(D5/'Building Typology'!$K5)</f>
        <v>1.2511438917131696</v>
      </c>
      <c r="F5" s="115">
        <f>IF(E5=0,0,E5+'FS - Operational'!BP5)</f>
        <v>2.2328416207879096</v>
      </c>
      <c r="G5" s="116">
        <f>ROUND(F5-$F5,2)</f>
        <v>0</v>
      </c>
      <c r="H5" s="44"/>
      <c r="I5" s="100">
        <f>'FS - Capital Output'!T5</f>
        <v>12617553.370808791</v>
      </c>
      <c r="J5" s="117">
        <f>IF('Building Typology'!$O5="Gas",(I5*'Global Inputs'!$D$45),0)</f>
        <v>820789.95397309307</v>
      </c>
      <c r="K5" s="115">
        <f>(J5/'Building Typology'!$K5)</f>
        <v>2.7233555614238765</v>
      </c>
      <c r="L5" s="115">
        <f>IF(K5=0,0,K5+'FS - Operational'!BR5)</f>
        <v>3.3315615071648392</v>
      </c>
      <c r="M5" s="116">
        <f>ROUND(L5-$F5,2)</f>
        <v>1.1000000000000001</v>
      </c>
      <c r="N5" s="44"/>
      <c r="O5" s="100">
        <f>'FS - Capital Output'!AC5</f>
        <v>7518646.7327884203</v>
      </c>
      <c r="P5" s="117">
        <f>IF('Building Typology'!$O5="Gas",(O5*'Global Inputs'!$D$46),0)</f>
        <v>489098.75982951955</v>
      </c>
      <c r="Q5" s="115">
        <f>(P5/'Building Typology'!$K5)</f>
        <v>1.6228144864829912</v>
      </c>
      <c r="R5" s="115">
        <f>IF(Q5=0,0,Q5+'FS - Operational'!BT5)</f>
        <v>2.231020432223954</v>
      </c>
      <c r="S5" s="116">
        <f>ROUND(R5-$F5,2)</f>
        <v>0</v>
      </c>
      <c r="T5" s="44"/>
      <c r="U5" s="100">
        <f>'FS - Capital Output'!AL5</f>
        <v>14471468.941873448</v>
      </c>
      <c r="V5" s="117">
        <f>IF('Building Typology'!$O5="Gas",(U5*'Global Inputs'!$D$47),0)</f>
        <v>941389.82238851942</v>
      </c>
      <c r="W5" s="115">
        <f>(V5/'Building Typology'!$K5)</f>
        <v>3.1235021772131164</v>
      </c>
      <c r="X5" s="115">
        <f>IF(W5=0,0,W5+'FS - Operational'!BV5)</f>
        <v>3.6728494830436631</v>
      </c>
      <c r="Y5" s="116">
        <f>ROUND(X5-$F5,2)</f>
        <v>1.44</v>
      </c>
      <c r="Z5" s="44"/>
      <c r="AA5" s="100">
        <f>'FS - Capital Output'!AV5</f>
        <v>6682942.887245751</v>
      </c>
      <c r="AB5" s="100">
        <f>IF('Building Typology'!$O5="Gas",(AA5*'Global Inputs'!$D$44),0)</f>
        <v>434735.02537486312</v>
      </c>
      <c r="AC5" s="115">
        <f>(AB5/'Building Typology'!$K5)</f>
        <v>1.4424373049029731</v>
      </c>
      <c r="AD5" s="115">
        <f>IF(AC5=0,0,AC5+'FS - Operational'!BW5)</f>
        <v>3.1801685784485807</v>
      </c>
      <c r="AE5" s="116">
        <f>ROUND(AD5-$F5,2)</f>
        <v>0.95</v>
      </c>
      <c r="AF5" s="44"/>
      <c r="AG5" s="100">
        <f>'FS - Capital Output'!BF5</f>
        <v>4605234.3083908483</v>
      </c>
      <c r="AH5" s="117">
        <f>IF('Building Typology'!$O5="Gas",(AG5*'Global Inputs'!$D$43),0)</f>
        <v>299577.10064174968</v>
      </c>
      <c r="AI5" s="115">
        <f>(AH5/'Building Typology'!$K5)</f>
        <v>0.99398751063989577</v>
      </c>
      <c r="AJ5" s="115">
        <f>IF(AI5=0,0,AI5+'FS - Operational'!BY5)</f>
        <v>3.4058611380673196</v>
      </c>
      <c r="AK5" s="116">
        <f>ROUND(AJ5-$F5,2)</f>
        <v>1.17</v>
      </c>
      <c r="AL5" s="44"/>
    </row>
    <row r="6" spans="1:38" x14ac:dyDescent="0.3">
      <c r="A6" s="46" t="str">
        <f>IF('Building Typology'!A6=0," ",'Building Typology'!A6)</f>
        <v>Class 'A' - district heating/ cooling</v>
      </c>
      <c r="B6" s="44"/>
      <c r="C6" s="100">
        <f>'FS - Capital Output'!K6</f>
        <v>807489.17278623208</v>
      </c>
      <c r="D6" s="117">
        <f>IF('Building Typology'!$O6="Gas",(C6*'Global Inputs'!$D$42),0)</f>
        <v>0</v>
      </c>
      <c r="E6" s="115">
        <f>(D6/'Building Typology'!$K6)</f>
        <v>0</v>
      </c>
      <c r="F6" s="115">
        <f>IF(E6=0,0,E6+'FS - Operational'!BP6)</f>
        <v>0</v>
      </c>
      <c r="G6" s="116">
        <f t="shared" ref="G6:G9" si="0">ROUND(F6-$F6,2)</f>
        <v>0</v>
      </c>
      <c r="H6" s="44"/>
      <c r="I6" s="100">
        <f>'FS - Capital Output'!T6</f>
        <v>12027693.370808791</v>
      </c>
      <c r="J6" s="117">
        <f>IF('Building Typology'!$O6="Gas",(I6*'Global Inputs'!$D$45),0)</f>
        <v>0</v>
      </c>
      <c r="K6" s="115">
        <f>(J6/'Building Typology'!$K6)</f>
        <v>0</v>
      </c>
      <c r="L6" s="115">
        <f>IF(K6=0,0,K6+'FS - Operational'!BR6)</f>
        <v>0</v>
      </c>
      <c r="M6" s="116">
        <f t="shared" ref="M6:M9" si="1">ROUND(L6-$F6,2)</f>
        <v>0</v>
      </c>
      <c r="N6" s="44"/>
      <c r="O6" s="100">
        <f>'FS - Capital Output'!AC6</f>
        <v>7140153.2327884203</v>
      </c>
      <c r="P6" s="117">
        <f>IF('Building Typology'!$O6="Gas",(O6*'Global Inputs'!$D$46),0)</f>
        <v>0</v>
      </c>
      <c r="Q6" s="115">
        <f>(P6/'Building Typology'!$K6)</f>
        <v>0</v>
      </c>
      <c r="R6" s="115">
        <f>IF(Q6=0,0,Q6+'FS - Operational'!BT6)</f>
        <v>0</v>
      </c>
      <c r="S6" s="116">
        <f t="shared" ref="S6:S9" si="2">ROUND(R6-$F6,2)</f>
        <v>0</v>
      </c>
      <c r="T6" s="44"/>
      <c r="U6" s="100">
        <f>'FS - Capital Output'!AL6</f>
        <v>14471468.941873448</v>
      </c>
      <c r="V6" s="117">
        <f>IF('Building Typology'!$O6="Gas",(U6*'Global Inputs'!$D$47),0)</f>
        <v>0</v>
      </c>
      <c r="W6" s="115">
        <f>(V6/'Building Typology'!$K6)</f>
        <v>0</v>
      </c>
      <c r="X6" s="115">
        <f>IF(W6=0,0,W6+'FS - Operational'!BV6)</f>
        <v>0</v>
      </c>
      <c r="Y6" s="116">
        <f t="shared" ref="Y6:Y9" si="3">ROUND(X6-$F6,2)</f>
        <v>0</v>
      </c>
      <c r="Z6" s="44"/>
      <c r="AA6" s="100">
        <f>'FS - Capital Output'!AV6</f>
        <v>3192060.7584457402</v>
      </c>
      <c r="AB6" s="100">
        <f>IF('Building Typology'!$O6="Gas",(AA6*'Global Inputs'!$D$44),0)</f>
        <v>0</v>
      </c>
      <c r="AC6" s="115">
        <f>(AB6/'Building Typology'!$K6)</f>
        <v>0</v>
      </c>
      <c r="AD6" s="115">
        <f>IF(AC6=0,0,AC6+'FS - Operational'!BW6)</f>
        <v>0</v>
      </c>
      <c r="AE6" s="116">
        <f t="shared" ref="AE6:AE9" si="4">ROUND(AD6-$F6,2)</f>
        <v>0</v>
      </c>
      <c r="AF6" s="44"/>
      <c r="AG6" s="100">
        <f>'FS - Capital Output'!BF6</f>
        <v>585571.38924142614</v>
      </c>
      <c r="AH6" s="117">
        <f>IF('Building Typology'!$O6="Gas",(AG6*'Global Inputs'!$D$43),0)</f>
        <v>0</v>
      </c>
      <c r="AI6" s="115">
        <f>(AH6/'Building Typology'!$K6)</f>
        <v>0</v>
      </c>
      <c r="AJ6" s="115">
        <f>IF(AI6=0,0,AI6+'FS - Operational'!BY6)</f>
        <v>0</v>
      </c>
      <c r="AK6" s="116">
        <f t="shared" ref="AK6:AK9" si="5">ROUND(AJ6-$F6,2)</f>
        <v>0</v>
      </c>
      <c r="AL6" s="44"/>
    </row>
    <row r="7" spans="1:38" x14ac:dyDescent="0.3">
      <c r="A7" s="46" t="str">
        <f>IF('Building Typology'!A7=0," ",'Building Typology'!A7)</f>
        <v>Class 'A' - electric</v>
      </c>
      <c r="B7" s="44"/>
      <c r="C7" s="100">
        <f>'FS - Capital Output'!K7</f>
        <v>737325</v>
      </c>
      <c r="D7" s="117">
        <f>IF('Building Typology'!$O7="Gas",(C7*'Global Inputs'!$D$42),0)</f>
        <v>0</v>
      </c>
      <c r="E7" s="115">
        <f>(D7/'Building Typology'!$K7)</f>
        <v>0</v>
      </c>
      <c r="F7" s="115">
        <f>IF(E7=0,0,E7+'FS - Operational'!BP7)</f>
        <v>0</v>
      </c>
      <c r="G7" s="116">
        <f t="shared" si="0"/>
        <v>0</v>
      </c>
      <c r="H7" s="44"/>
      <c r="I7" s="100">
        <f>'FS - Capital Output'!T7</f>
        <v>1961516.8122580394</v>
      </c>
      <c r="J7" s="117">
        <f>IF('Building Typology'!$O7="Gas",(I7*'Global Inputs'!$D$45),0)</f>
        <v>0</v>
      </c>
      <c r="K7" s="115">
        <f>(J7/'Building Typology'!$K7)</f>
        <v>0</v>
      </c>
      <c r="L7" s="115">
        <f>IF(K7=0,0,K7+'FS - Operational'!BR7)</f>
        <v>0</v>
      </c>
      <c r="M7" s="116">
        <f t="shared" si="1"/>
        <v>0</v>
      </c>
      <c r="N7" s="44"/>
      <c r="O7" s="100">
        <f>'FS - Capital Output'!AC7</f>
        <v>1392725</v>
      </c>
      <c r="P7" s="117">
        <f>IF('Building Typology'!$O7="Gas",(O7*'Global Inputs'!$D$46),0)</f>
        <v>0</v>
      </c>
      <c r="Q7" s="115">
        <f>(P7/'Building Typology'!$K7)</f>
        <v>0</v>
      </c>
      <c r="R7" s="115">
        <f>IF(Q7=0,0,Q7+'FS - Operational'!BT7)</f>
        <v>0</v>
      </c>
      <c r="S7" s="116">
        <f t="shared" si="2"/>
        <v>0</v>
      </c>
      <c r="T7" s="44"/>
      <c r="U7" s="100">
        <f>'FS - Capital Output'!AL7</f>
        <v>5435963.7005690727</v>
      </c>
      <c r="V7" s="117">
        <f>IF('Building Typology'!$O7="Gas",(U7*'Global Inputs'!$D$47),0)</f>
        <v>0</v>
      </c>
      <c r="W7" s="115">
        <f>(V7/'Building Typology'!$K7)</f>
        <v>0</v>
      </c>
      <c r="X7" s="115">
        <f>IF(W7=0,0,W7+'FS - Operational'!BV7)</f>
        <v>0</v>
      </c>
      <c r="Y7" s="116">
        <f t="shared" si="3"/>
        <v>0</v>
      </c>
      <c r="Z7" s="44"/>
      <c r="AA7" s="100">
        <f>'FS - Capital Output'!AV7</f>
        <v>1392725</v>
      </c>
      <c r="AB7" s="100">
        <f>IF('Building Typology'!$O7="Gas",(AA7*'Global Inputs'!$D$44),0)</f>
        <v>0</v>
      </c>
      <c r="AC7" s="115">
        <f>(AB7/'Building Typology'!$K7)</f>
        <v>0</v>
      </c>
      <c r="AD7" s="115">
        <f>IF(AC7=0,0,AC7+'FS - Operational'!BW7)</f>
        <v>0</v>
      </c>
      <c r="AE7" s="116">
        <f t="shared" si="4"/>
        <v>0</v>
      </c>
      <c r="AF7" s="44"/>
      <c r="AG7" s="100">
        <f>'FS - Capital Output'!BF7</f>
        <v>737325</v>
      </c>
      <c r="AH7" s="117">
        <f>IF('Building Typology'!$O7="Gas",(AG7*'Global Inputs'!$D$43),0)</f>
        <v>0</v>
      </c>
      <c r="AI7" s="115">
        <f>(AH7/'Building Typology'!$K7)</f>
        <v>0</v>
      </c>
      <c r="AJ7" s="115">
        <f>IF(AI7=0,0,AI7+'FS - Operational'!BY7)</f>
        <v>0</v>
      </c>
      <c r="AK7" s="116">
        <f t="shared" si="5"/>
        <v>0</v>
      </c>
      <c r="AL7" s="44"/>
    </row>
    <row r="8" spans="1:38" x14ac:dyDescent="0.3">
      <c r="A8" s="46" t="str">
        <f>IF('Building Typology'!A8=0," ",'Building Typology'!A8)</f>
        <v>Class 'B' &amp; 'C' - rooftop units</v>
      </c>
      <c r="B8" s="44"/>
      <c r="C8" s="100">
        <f>'FS - Capital Output'!K8</f>
        <v>371529.875</v>
      </c>
      <c r="D8" s="117">
        <f>IF('Building Typology'!$O8="Gas",(C8*'Global Inputs'!$D$42),0)</f>
        <v>29812.518388634144</v>
      </c>
      <c r="E8" s="115">
        <f>(D8/'Building Typology'!$K8)</f>
        <v>0.82430841330285853</v>
      </c>
      <c r="F8" s="115">
        <f>IF(E8=0,0,E8+'FS - Operational'!BP8)</f>
        <v>1.8060061423775986</v>
      </c>
      <c r="G8" s="116">
        <f t="shared" si="0"/>
        <v>0</v>
      </c>
      <c r="H8" s="44"/>
      <c r="I8" s="100">
        <f>'FS - Capital Output'!T8</f>
        <v>2270526.5088618402</v>
      </c>
      <c r="J8" s="117">
        <f>IF('Building Typology'!$O8="Gas",(I8*'Global Inputs'!$D$45),0)</f>
        <v>147701.00778927302</v>
      </c>
      <c r="K8" s="115">
        <f>(J8/'Building Typology'!$K8)</f>
        <v>4.0838946172499719</v>
      </c>
      <c r="L8" s="115">
        <f>IF(K8=0,0,K8+'FS - Operational'!BR8)</f>
        <v>4.6205469223155271</v>
      </c>
      <c r="M8" s="116">
        <f t="shared" si="1"/>
        <v>2.81</v>
      </c>
      <c r="N8" s="44"/>
      <c r="O8" s="100">
        <f>'FS - Capital Output'!AC8</f>
        <v>1594260.5</v>
      </c>
      <c r="P8" s="117">
        <f>IF('Building Typology'!$O8="Gas",(O8*'Global Inputs'!$D$46),0)</f>
        <v>103708.93341679928</v>
      </c>
      <c r="Q8" s="115">
        <f>(P8/'Building Typology'!$K8)</f>
        <v>2.8675251528809285</v>
      </c>
      <c r="R8" s="115">
        <f>IF(Q8=0,0,Q8+'FS - Operational'!BT8)</f>
        <v>3.4041774579464836</v>
      </c>
      <c r="S8" s="116">
        <f t="shared" si="2"/>
        <v>1.6</v>
      </c>
      <c r="T8" s="44"/>
      <c r="U8" s="100">
        <f>'FS - Capital Output'!AL8</f>
        <v>2155396.2935888828</v>
      </c>
      <c r="V8" s="117">
        <f>IF('Building Typology'!$O8="Gas",(U8*'Global Inputs'!$D$47),0)</f>
        <v>140211.62206466598</v>
      </c>
      <c r="W8" s="115">
        <f>(V8/'Building Typology'!$K8)</f>
        <v>3.876815041389063</v>
      </c>
      <c r="X8" s="115">
        <f>IF(W8=0,0,W8+'FS - Operational'!BV8)</f>
        <v>4.3615332524160157</v>
      </c>
      <c r="Y8" s="116">
        <f t="shared" si="3"/>
        <v>2.56</v>
      </c>
      <c r="Z8" s="44"/>
      <c r="AA8" s="100">
        <f>'FS - Capital Output'!AV8</f>
        <v>1221553.6401152802</v>
      </c>
      <c r="AB8" s="100">
        <f>IF('Building Typology'!$O8="Gas",(AA8*'Global Inputs'!$D$44),0)</f>
        <v>79463.817317034685</v>
      </c>
      <c r="AC8" s="115">
        <f>(AB8/'Building Typology'!$K8)</f>
        <v>2.1971539711507768</v>
      </c>
      <c r="AD8" s="115">
        <f>IF(AC8=0,0,AC8+'FS - Operational'!BW8)</f>
        <v>3.7304462713380775</v>
      </c>
      <c r="AE8" s="116">
        <f t="shared" si="4"/>
        <v>1.92</v>
      </c>
      <c r="AF8" s="44"/>
      <c r="AG8" s="100">
        <f>'FS - Capital Output'!BF8</f>
        <v>418636.75</v>
      </c>
      <c r="AH8" s="117">
        <f>IF('Building Typology'!$O8="Gas",(AG8*'Global Inputs'!$D$43),0)</f>
        <v>27232.921364842976</v>
      </c>
      <c r="AI8" s="115">
        <f>(AH8/'Building Typology'!$K8)</f>
        <v>0.75298322359822945</v>
      </c>
      <c r="AJ8" s="115">
        <f>IF(AI8=0,0,AI8+'FS - Operational'!BY8)</f>
        <v>3.164856851025653</v>
      </c>
      <c r="AK8" s="116">
        <f t="shared" si="5"/>
        <v>1.36</v>
      </c>
      <c r="AL8" s="44"/>
    </row>
    <row r="9" spans="1:38" x14ac:dyDescent="0.3">
      <c r="A9" s="46" t="str">
        <f>IF('Building Typology'!A9=0," ",'Building Typology'!A9)</f>
        <v>Class 'B' &amp; 'C' - electric</v>
      </c>
      <c r="B9" s="44"/>
      <c r="C9" s="100">
        <f>'FS - Capital Output'!K9</f>
        <v>88479</v>
      </c>
      <c r="D9" s="117">
        <f>IF('Building Typology'!$O9="Gas",(C9*'Global Inputs'!$D$42),0)</f>
        <v>0</v>
      </c>
      <c r="E9" s="115">
        <f>(D9/'Building Typology'!$K9)</f>
        <v>0</v>
      </c>
      <c r="F9" s="115">
        <f>IF(E9=0,0,E9+'FS - Operational'!BP9)</f>
        <v>0</v>
      </c>
      <c r="G9" s="116">
        <f t="shared" si="0"/>
        <v>0</v>
      </c>
      <c r="H9" s="44"/>
      <c r="I9" s="100">
        <f>'FS - Capital Output'!T9</f>
        <v>376855</v>
      </c>
      <c r="J9" s="117">
        <f>IF('Building Typology'!$O9="Gas",(I9*'Global Inputs'!$D$45),0)</f>
        <v>0</v>
      </c>
      <c r="K9" s="115">
        <f>(J9/'Building Typology'!$K9)</f>
        <v>0</v>
      </c>
      <c r="L9" s="115">
        <f>IF(K9=0,0,K9+'FS - Operational'!BR9)</f>
        <v>0</v>
      </c>
      <c r="M9" s="116">
        <f t="shared" si="1"/>
        <v>0</v>
      </c>
      <c r="N9" s="44"/>
      <c r="O9" s="100">
        <f>'FS - Capital Output'!AC9</f>
        <v>373578</v>
      </c>
      <c r="P9" s="117">
        <f>IF('Building Typology'!$O9="Gas",(O9*'Global Inputs'!$D$46),0)</f>
        <v>0</v>
      </c>
      <c r="Q9" s="115">
        <f>(P9/'Building Typology'!$K9)</f>
        <v>0</v>
      </c>
      <c r="R9" s="115">
        <f>IF(Q9=0,0,Q9+'FS - Operational'!BT9)</f>
        <v>0</v>
      </c>
      <c r="S9" s="116">
        <f t="shared" si="2"/>
        <v>0</v>
      </c>
      <c r="T9" s="44"/>
      <c r="U9" s="100">
        <f>'FS - Capital Output'!AL9</f>
        <v>819754.43561322684</v>
      </c>
      <c r="V9" s="117">
        <f>IF('Building Typology'!$O9="Gas",(U9*'Global Inputs'!$D$47),0)</f>
        <v>0</v>
      </c>
      <c r="W9" s="115">
        <f>(V9/'Building Typology'!$K9)</f>
        <v>0</v>
      </c>
      <c r="X9" s="115">
        <f>IF(W9=0,0,W9+'FS - Operational'!BV9)</f>
        <v>0</v>
      </c>
      <c r="Y9" s="116">
        <f t="shared" si="3"/>
        <v>0</v>
      </c>
      <c r="Z9" s="44"/>
      <c r="AA9" s="100">
        <f>'FS - Capital Output'!AV9</f>
        <v>215514.64011528002</v>
      </c>
      <c r="AB9" s="100">
        <f>IF('Building Typology'!$O9="Gas",(AA9*'Global Inputs'!$D$44),0)</f>
        <v>0</v>
      </c>
      <c r="AC9" s="115">
        <f>(AB9/'Building Typology'!$K9)</f>
        <v>0</v>
      </c>
      <c r="AD9" s="115">
        <f>IF(AC9=0,0,AC9+'FS - Operational'!BW9)</f>
        <v>0</v>
      </c>
      <c r="AE9" s="116">
        <f t="shared" si="4"/>
        <v>0</v>
      </c>
      <c r="AF9" s="44"/>
      <c r="AG9" s="100">
        <f>'FS - Capital Output'!BF9</f>
        <v>88479</v>
      </c>
      <c r="AH9" s="117">
        <f>IF('Building Typology'!$O9="Gas",(AG9*'Global Inputs'!$D$43),0)</f>
        <v>0</v>
      </c>
      <c r="AI9" s="115">
        <f>(AH9/'Building Typology'!$K9)</f>
        <v>0</v>
      </c>
      <c r="AJ9" s="115">
        <f>IF(AI9=0,0,AI9+'FS - Operational'!BY9)</f>
        <v>0</v>
      </c>
      <c r="AK9" s="116">
        <f t="shared" si="5"/>
        <v>0</v>
      </c>
      <c r="AL9" s="44"/>
    </row>
    <row r="10" spans="1:38" x14ac:dyDescent="0.3">
      <c r="A10" s="44" t="str">
        <f>IF('Building Typology'!A10=0," ",'Building Typology'!A10)</f>
        <v xml:space="preserve"> </v>
      </c>
      <c r="B10" s="44"/>
      <c r="C10" s="108"/>
      <c r="D10" s="108"/>
      <c r="E10" s="113"/>
      <c r="F10" s="113"/>
      <c r="G10" s="113"/>
      <c r="H10" s="44"/>
      <c r="I10" s="108"/>
      <c r="J10" s="108"/>
      <c r="K10" s="113"/>
      <c r="L10" s="113"/>
      <c r="M10" s="113"/>
      <c r="N10" s="44"/>
      <c r="O10" s="108"/>
      <c r="P10" s="108"/>
      <c r="Q10" s="113"/>
      <c r="R10" s="113"/>
      <c r="S10" s="113"/>
      <c r="T10" s="44"/>
      <c r="U10" s="108"/>
      <c r="V10" s="108"/>
      <c r="W10" s="113"/>
      <c r="X10" s="113"/>
      <c r="Y10" s="113"/>
      <c r="Z10" s="44"/>
      <c r="AA10" s="108"/>
      <c r="AB10" s="108"/>
      <c r="AC10" s="113"/>
      <c r="AD10" s="113"/>
      <c r="AE10" s="113"/>
      <c r="AF10" s="44"/>
      <c r="AG10" s="108"/>
      <c r="AH10" s="108"/>
      <c r="AI10" s="113"/>
      <c r="AJ10" s="113"/>
      <c r="AK10" s="113"/>
      <c r="AL10" s="44"/>
    </row>
    <row r="11" spans="1:38" ht="16.5" x14ac:dyDescent="0.3">
      <c r="A11" s="98" t="str">
        <f>IF('Building Typology'!A11=0," ",'Building Typology'!A11)</f>
        <v>RETAIL &amp; HOSPITALITY</v>
      </c>
      <c r="B11" s="44"/>
      <c r="C11" s="100"/>
      <c r="D11" s="100"/>
      <c r="E11" s="115"/>
      <c r="F11" s="115"/>
      <c r="G11" s="115"/>
      <c r="H11" s="44"/>
      <c r="I11" s="100"/>
      <c r="J11" s="100"/>
      <c r="K11" s="115"/>
      <c r="L11" s="115"/>
      <c r="M11" s="115"/>
      <c r="N11" s="44"/>
      <c r="O11" s="100"/>
      <c r="P11" s="100"/>
      <c r="Q11" s="115"/>
      <c r="R11" s="115"/>
      <c r="S11" s="115"/>
      <c r="T11" s="44"/>
      <c r="U11" s="100"/>
      <c r="V11" s="100"/>
      <c r="W11" s="115"/>
      <c r="X11" s="115"/>
      <c r="Y11" s="115"/>
      <c r="Z11" s="44"/>
      <c r="AA11" s="100"/>
      <c r="AB11" s="100"/>
      <c r="AC11" s="115"/>
      <c r="AD11" s="115"/>
      <c r="AE11" s="115"/>
      <c r="AF11" s="44"/>
      <c r="AG11" s="100"/>
      <c r="AH11" s="100"/>
      <c r="AI11" s="115"/>
      <c r="AJ11" s="115"/>
      <c r="AK11" s="115"/>
      <c r="AL11" s="44"/>
    </row>
    <row r="12" spans="1:38" x14ac:dyDescent="0.3">
      <c r="A12" s="46" t="str">
        <f>IF('Building Typology'!A12=0," ",'Building Typology'!A12)</f>
        <v>Restaurant - gas MAU + RTU</v>
      </c>
      <c r="B12" s="44"/>
      <c r="C12" s="100">
        <f>'FS - Capital Output'!K12</f>
        <v>181217.78236039</v>
      </c>
      <c r="D12" s="117">
        <f>IF('Building Typology'!$O12="Gas",(C12*'Global Inputs'!$D$42),0)</f>
        <v>14541.383701557317</v>
      </c>
      <c r="E12" s="115">
        <f>(D12/'Building Typology'!$K12)</f>
        <v>9.6495718503233157</v>
      </c>
      <c r="F12" s="115">
        <f>IF(E12=0,0,E12+'FS - Operational'!BP12)</f>
        <v>11.60725268508658</v>
      </c>
      <c r="G12" s="116">
        <f t="shared" ref="G12:G16" si="6">ROUND(F12-$F12,2)</f>
        <v>0</v>
      </c>
      <c r="H12" s="44"/>
      <c r="I12" s="100">
        <f>'FS - Capital Output'!T12</f>
        <v>751720.72232049343</v>
      </c>
      <c r="J12" s="117">
        <f>IF('Building Typology'!$O12="Gas",(I12*'Global Inputs'!$D$45),0)</f>
        <v>48900.511766530195</v>
      </c>
      <c r="K12" s="115">
        <f>(J12/'Building Typology'!$K12)</f>
        <v>32.450075693840525</v>
      </c>
      <c r="L12" s="115">
        <f>IF(K12=0,0,K12+'FS - Operational'!BR12)</f>
        <v>33.520256362943798</v>
      </c>
      <c r="M12" s="116">
        <f t="shared" ref="M12:M16" si="7">ROUND(L12-$F12,2)</f>
        <v>21.91</v>
      </c>
      <c r="N12" s="44"/>
      <c r="O12" s="100">
        <f>'FS - Capital Output'!AC12</f>
        <v>682915.26116024668</v>
      </c>
      <c r="P12" s="117">
        <f>IF('Building Typology'!$O12="Gas",(O12*'Global Inputs'!$D$46),0)</f>
        <v>44424.617776695915</v>
      </c>
      <c r="Q12" s="115">
        <f>(P12/'Building Typology'!$K12)</f>
        <v>29.479900259661541</v>
      </c>
      <c r="R12" s="115">
        <f>IF(Q12=0,0,Q12+'FS - Operational'!BT12)</f>
        <v>30.55008092876481</v>
      </c>
      <c r="S12" s="116">
        <f t="shared" ref="S12:S16" si="8">ROUND(R12-$F12,2)</f>
        <v>18.940000000000001</v>
      </c>
      <c r="T12" s="44"/>
      <c r="U12" s="100">
        <f>'FS - Capital Output'!AL12</f>
        <v>981233.65563567879</v>
      </c>
      <c r="V12" s="117">
        <f>IF('Building Typology'!$O12="Gas",(U12*'Global Inputs'!$D$47),0)</f>
        <v>63830.657448166829</v>
      </c>
      <c r="W12" s="115">
        <f>(V12/'Building Typology'!$K12)</f>
        <v>42.357627578006664</v>
      </c>
      <c r="X12" s="115">
        <f>IF(W12=0,0,W12+'FS - Operational'!BV12)</f>
        <v>43.324242375906394</v>
      </c>
      <c r="Y12" s="116">
        <f t="shared" ref="Y12:Y16" si="9">ROUND(X12-$F12,2)</f>
        <v>31.72</v>
      </c>
      <c r="Z12" s="44"/>
      <c r="AA12" s="100">
        <f>'FS - Capital Output'!AV12</f>
        <v>724660.34533000004</v>
      </c>
      <c r="AB12" s="100">
        <f>IF('Building Typology'!$O12="Gas",(AA12*'Global Inputs'!$D$44),0)</f>
        <v>47140.195409485306</v>
      </c>
      <c r="AC12" s="115">
        <f>(AB12/'Building Typology'!$K12)</f>
        <v>31.281940699590635</v>
      </c>
      <c r="AD12" s="115">
        <f>IF(AC12=0,0,AC12+'FS - Operational'!BW12)</f>
        <v>34.33959975417141</v>
      </c>
      <c r="AE12" s="116">
        <f t="shared" ref="AE12:AE16" si="10">ROUND(AD12-$F12,2)</f>
        <v>22.73</v>
      </c>
      <c r="AF12" s="44"/>
      <c r="AG12" s="100">
        <f>'FS - Capital Output'!BF12</f>
        <v>145498.641180195</v>
      </c>
      <c r="AH12" s="117">
        <f>IF('Building Typology'!$O12="Gas",(AG12*'Global Inputs'!$D$43),0)</f>
        <v>9464.8954110019113</v>
      </c>
      <c r="AI12" s="115">
        <f>(AH12/'Building Typology'!$K12)</f>
        <v>6.2808457708517169</v>
      </c>
      <c r="AJ12" s="115">
        <f>IF(AI12=0,0,AI12+'FS - Operational'!BY12)</f>
        <v>11.090553114002905</v>
      </c>
      <c r="AK12" s="116">
        <f t="shared" ref="AK12:AK16" si="11">ROUND(AJ12-$F12,2)</f>
        <v>-0.52</v>
      </c>
      <c r="AL12" s="44"/>
    </row>
    <row r="13" spans="1:38" x14ac:dyDescent="0.3">
      <c r="A13" s="46" t="str">
        <f>IF('Building Typology'!A13=0," ",'Building Typology'!A13)</f>
        <v>High-rise hotel - gas boiler</v>
      </c>
      <c r="B13" s="44"/>
      <c r="C13" s="100">
        <f>'FS - Capital Output'!K13</f>
        <v>3165126.0034529478</v>
      </c>
      <c r="D13" s="117">
        <f>IF('Building Typology'!$O13="Gas",(C13*'Global Inputs'!$D$42),0)</f>
        <v>253977.8993015975</v>
      </c>
      <c r="E13" s="115">
        <f>(D13/'Building Typology'!$K13)</f>
        <v>1.0725155350992142</v>
      </c>
      <c r="F13" s="115">
        <f>IF(E13=0,0,E13+'FS - Operational'!BP13)</f>
        <v>3.2912204811642471</v>
      </c>
      <c r="G13" s="116">
        <f t="shared" si="6"/>
        <v>0</v>
      </c>
      <c r="H13" s="44"/>
      <c r="I13" s="100">
        <f>'FS - Capital Output'!T13</f>
        <v>13612244.339068502</v>
      </c>
      <c r="J13" s="117">
        <f>IF('Building Typology'!$O13="Gas",(I13*'Global Inputs'!$D$45),0)</f>
        <v>885496.02891977702</v>
      </c>
      <c r="K13" s="115">
        <f>(J13/'Building Typology'!$K13)</f>
        <v>3.7393342093807544</v>
      </c>
      <c r="L13" s="115">
        <f>IF(K13=0,0,K13+'FS - Operational'!BR13)</f>
        <v>4.9522056343644607</v>
      </c>
      <c r="M13" s="116">
        <f t="shared" si="7"/>
        <v>1.66</v>
      </c>
      <c r="N13" s="44"/>
      <c r="O13" s="100">
        <f>'FS - Capital Output'!AC13</f>
        <v>8517369.1292642485</v>
      </c>
      <c r="P13" s="117">
        <f>IF('Building Typology'!$O13="Gas",(O13*'Global Inputs'!$D$46),0)</f>
        <v>554067.08496708516</v>
      </c>
      <c r="Q13" s="115">
        <f>(P13/'Building Typology'!$K13)</f>
        <v>2.3397530168901488</v>
      </c>
      <c r="R13" s="115">
        <f>IF(Q13=0,0,Q13+'FS - Operational'!BT13)</f>
        <v>3.5526244418738555</v>
      </c>
      <c r="S13" s="116">
        <f t="shared" si="8"/>
        <v>0.26</v>
      </c>
      <c r="T13" s="44"/>
      <c r="U13" s="100">
        <f>'FS - Capital Output'!AL13</f>
        <v>16575249.999712238</v>
      </c>
      <c r="V13" s="117">
        <f>IF('Building Typology'!$O13="Gas",(U13*'Global Inputs'!$D$47),0)</f>
        <v>1078243.7992956352</v>
      </c>
      <c r="W13" s="115">
        <f>(V13/'Building Typology'!$K13)</f>
        <v>4.5532828980355857</v>
      </c>
      <c r="X13" s="115">
        <f>IF(W13=0,0,W13+'FS - Operational'!BV13)</f>
        <v>5.6487796689886114</v>
      </c>
      <c r="Y13" s="116">
        <f t="shared" si="9"/>
        <v>2.36</v>
      </c>
      <c r="Z13" s="44"/>
      <c r="AA13" s="100">
        <f>'FS - Capital Output'!AV13</f>
        <v>4924719.0301809087</v>
      </c>
      <c r="AB13" s="100">
        <f>IF('Building Typology'!$O13="Gas",(AA13*'Global Inputs'!$D$44),0)</f>
        <v>320360.04028041603</v>
      </c>
      <c r="AC13" s="115">
        <f>(AB13/'Building Typology'!$K13)</f>
        <v>1.3528386563184518</v>
      </c>
      <c r="AD13" s="115">
        <f>IF(AC13=0,0,AC13+'FS - Operational'!BW13)</f>
        <v>4.8181855848433273</v>
      </c>
      <c r="AE13" s="116">
        <f t="shared" si="10"/>
        <v>1.53</v>
      </c>
      <c r="AF13" s="44"/>
      <c r="AG13" s="100">
        <f>'FS - Capital Output'!BF13</f>
        <v>2928937.3514845348</v>
      </c>
      <c r="AH13" s="117">
        <f>IF('Building Typology'!$O13="Gas",(AG13*'Global Inputs'!$D$43),0)</f>
        <v>190531.57797429344</v>
      </c>
      <c r="AI13" s="115">
        <f>(AH13/'Building Typology'!$K13)</f>
        <v>0.80458999726481972</v>
      </c>
      <c r="AJ13" s="115">
        <f>IF(AI13=0,0,AI13+'FS - Operational'!BY13)</f>
        <v>6.2555916528361672</v>
      </c>
      <c r="AK13" s="116">
        <f t="shared" si="11"/>
        <v>2.96</v>
      </c>
      <c r="AL13" s="44"/>
    </row>
    <row r="14" spans="1:38" x14ac:dyDescent="0.3">
      <c r="A14" s="46" t="str">
        <f>IF('Building Typology'!A14=0," ",'Building Typology'!A14)</f>
        <v>High-rise hotel - electric</v>
      </c>
      <c r="B14" s="44"/>
      <c r="C14" s="100">
        <f>'FS - Capital Output'!K14</f>
        <v>749613.75</v>
      </c>
      <c r="D14" s="117">
        <f>IF('Building Typology'!$O14="Gas",(C14*'Global Inputs'!$D$42),0)</f>
        <v>0</v>
      </c>
      <c r="E14" s="115">
        <f>(D14/'Building Typology'!$K14)</f>
        <v>0</v>
      </c>
      <c r="F14" s="115">
        <f>IF(E14=0,0,E14+'FS - Operational'!BP14)</f>
        <v>0</v>
      </c>
      <c r="G14" s="116">
        <f t="shared" si="6"/>
        <v>0</v>
      </c>
      <c r="H14" s="44"/>
      <c r="I14" s="100">
        <f>'FS - Capital Output'!T14</f>
        <v>3519125.0102352099</v>
      </c>
      <c r="J14" s="117">
        <f>IF('Building Typology'!$O14="Gas",(I14*'Global Inputs'!$D$45),0)</f>
        <v>0</v>
      </c>
      <c r="K14" s="115">
        <f>(J14/'Building Typology'!$K14)</f>
        <v>0</v>
      </c>
      <c r="L14" s="115">
        <f>IF(K14=0,0,K14+'FS - Operational'!BR14)</f>
        <v>0</v>
      </c>
      <c r="M14" s="116">
        <f t="shared" si="7"/>
        <v>0</v>
      </c>
      <c r="N14" s="44"/>
      <c r="O14" s="100">
        <f>'FS - Capital Output'!AC14</f>
        <v>2021722.505117605</v>
      </c>
      <c r="P14" s="117">
        <f>IF('Building Typology'!$O14="Gas",(O14*'Global Inputs'!$D$46),0)</f>
        <v>0</v>
      </c>
      <c r="Q14" s="115">
        <f>(P14/'Building Typology'!$K14)</f>
        <v>0</v>
      </c>
      <c r="R14" s="115">
        <f>IF(Q14=0,0,Q14+'FS - Operational'!BT14)</f>
        <v>0</v>
      </c>
      <c r="S14" s="116">
        <f t="shared" si="8"/>
        <v>0</v>
      </c>
      <c r="T14" s="44"/>
      <c r="U14" s="100">
        <f>'FS - Capital Output'!AL14</f>
        <v>6809830.6708789431</v>
      </c>
      <c r="V14" s="117">
        <f>IF('Building Typology'!$O14="Gas",(U14*'Global Inputs'!$D$47),0)</f>
        <v>0</v>
      </c>
      <c r="W14" s="115">
        <f>(V14/'Building Typology'!$K14)</f>
        <v>0</v>
      </c>
      <c r="X14" s="115">
        <f>IF(W14=0,0,W14+'FS - Operational'!BV14)</f>
        <v>0</v>
      </c>
      <c r="Y14" s="116">
        <f t="shared" si="9"/>
        <v>0</v>
      </c>
      <c r="Z14" s="44"/>
      <c r="AA14" s="100">
        <f>'FS - Capital Output'!AV14</f>
        <v>1405013.75</v>
      </c>
      <c r="AB14" s="100">
        <f>IF('Building Typology'!$O14="Gas",(AA14*'Global Inputs'!$D$44),0)</f>
        <v>0</v>
      </c>
      <c r="AC14" s="115">
        <f>(AB14/'Building Typology'!$K14)</f>
        <v>0</v>
      </c>
      <c r="AD14" s="115">
        <f>IF(AC14=0,0,AC14+'FS - Operational'!BW14)</f>
        <v>0</v>
      </c>
      <c r="AE14" s="116">
        <f t="shared" si="10"/>
        <v>0</v>
      </c>
      <c r="AF14" s="44"/>
      <c r="AG14" s="100">
        <f>'FS - Capital Output'!BF14</f>
        <v>626726.25</v>
      </c>
      <c r="AH14" s="117">
        <f>IF('Building Typology'!$O14="Gas",(AG14*'Global Inputs'!$D$43),0)</f>
        <v>0</v>
      </c>
      <c r="AI14" s="115">
        <f>(AH14/'Building Typology'!$K14)</f>
        <v>0</v>
      </c>
      <c r="AJ14" s="115">
        <f>IF(AI14=0,0,AI14+'FS - Operational'!BY14)</f>
        <v>0</v>
      </c>
      <c r="AK14" s="116">
        <f t="shared" si="11"/>
        <v>0</v>
      </c>
      <c r="AL14" s="44"/>
    </row>
    <row r="15" spans="1:38" x14ac:dyDescent="0.3">
      <c r="A15" s="46" t="str">
        <f>IF('Building Typology'!A15=0," ",'Building Typology'!A15)</f>
        <v>Standalone retail</v>
      </c>
      <c r="B15" s="44"/>
      <c r="C15" s="100">
        <f>'FS - Capital Output'!K15</f>
        <v>18023.5</v>
      </c>
      <c r="D15" s="117">
        <f>IF('Building Typology'!$O15="Gas",(C15*'Global Inputs'!$D$42),0)</f>
        <v>1446.252270231425</v>
      </c>
      <c r="E15" s="115">
        <f>(D15/'Building Typology'!$K15)</f>
        <v>0.95972401813430941</v>
      </c>
      <c r="F15" s="115">
        <f>IF(E15=0,0,E15+'FS - Operational'!BP15)</f>
        <v>3.5699651311519967</v>
      </c>
      <c r="G15" s="116">
        <f t="shared" si="6"/>
        <v>0</v>
      </c>
      <c r="H15" s="44"/>
      <c r="I15" s="100">
        <f>'FS - Capital Output'!T15</f>
        <v>197346.12460450915</v>
      </c>
      <c r="J15" s="117">
        <f>IF('Building Typology'!$O15="Gas",(I15*'Global Inputs'!$D$45),0)</f>
        <v>12837.6486130544</v>
      </c>
      <c r="K15" s="115">
        <f>(J15/'Building Typology'!$K15)</f>
        <v>8.5189838342279032</v>
      </c>
      <c r="L15" s="115">
        <f>IF(K15=0,0,K15+'FS - Operational'!BR15)</f>
        <v>9.9458913930322641</v>
      </c>
      <c r="M15" s="116">
        <f t="shared" si="7"/>
        <v>6.38</v>
      </c>
      <c r="N15" s="44"/>
      <c r="O15" s="100">
        <f>'FS - Capital Output'!AC15</f>
        <v>149732.96577852513</v>
      </c>
      <c r="P15" s="117">
        <f>IF('Building Typology'!$O15="Gas",(O15*'Global Inputs'!$D$46),0)</f>
        <v>9740.3443027190024</v>
      </c>
      <c r="Q15" s="115">
        <f>(P15/'Building Typology'!$K15)</f>
        <v>6.4636319434930005</v>
      </c>
      <c r="R15" s="115">
        <f>IF(Q15=0,0,Q15+'FS - Operational'!BT15)</f>
        <v>7.8905395022973615</v>
      </c>
      <c r="S15" s="116">
        <f t="shared" si="8"/>
        <v>4.32</v>
      </c>
      <c r="T15" s="44"/>
      <c r="U15" s="100">
        <f>'FS - Capital Output'!AL15</f>
        <v>222853.17397557202</v>
      </c>
      <c r="V15" s="117">
        <f>IF('Building Typology'!$O15="Gas",(U15*'Global Inputs'!$D$47),0)</f>
        <v>14496.918779305506</v>
      </c>
      <c r="W15" s="115">
        <f>(V15/'Building Typology'!$K15)</f>
        <v>9.6200652042644581</v>
      </c>
      <c r="X15" s="115">
        <f>IF(W15=0,0,W15+'FS - Operational'!BV15)</f>
        <v>10.908884934797429</v>
      </c>
      <c r="Y15" s="116">
        <f t="shared" si="9"/>
        <v>7.34</v>
      </c>
      <c r="Z15" s="44"/>
      <c r="AA15" s="100">
        <f>'FS - Capital Output'!AV15</f>
        <v>83563.5</v>
      </c>
      <c r="AB15" s="100">
        <f>IF('Building Typology'!$O15="Gas",(AA15*'Global Inputs'!$D$44),0)</f>
        <v>5435.925595330692</v>
      </c>
      <c r="AC15" s="115">
        <f>(AB15/'Building Typology'!$K15)</f>
        <v>3.6072464410341794</v>
      </c>
      <c r="AD15" s="115">
        <f>IF(AC15=0,0,AC15+'FS - Operational'!BW15)</f>
        <v>7.6841251804752115</v>
      </c>
      <c r="AE15" s="116">
        <f t="shared" si="10"/>
        <v>4.1100000000000003</v>
      </c>
      <c r="AF15" s="44"/>
      <c r="AG15" s="100">
        <f>'FS - Capital Output'!BF15</f>
        <v>18023.5</v>
      </c>
      <c r="AH15" s="117">
        <f>IF('Building Typology'!$O15="Gas",(AG15*'Global Inputs'!$D$43),0)</f>
        <v>1172.4545401693649</v>
      </c>
      <c r="AI15" s="115">
        <f>(AH15/'Building Typology'!$K15)</f>
        <v>0.7780335461054112</v>
      </c>
      <c r="AJ15" s="115">
        <f>IF(AI15=0,0,AI15+'FS - Operational'!BY15)</f>
        <v>7.1909766703069966</v>
      </c>
      <c r="AK15" s="116">
        <f t="shared" si="11"/>
        <v>3.62</v>
      </c>
      <c r="AL15" s="44"/>
    </row>
    <row r="16" spans="1:38" x14ac:dyDescent="0.3">
      <c r="A16" s="46" t="str">
        <f>IF('Building Typology'!A16=0," ",'Building Typology'!A16)</f>
        <v>Mall retail</v>
      </c>
      <c r="B16" s="44"/>
      <c r="C16" s="100">
        <f>'FS - Capital Output'!K16</f>
        <v>3947966.5628475607</v>
      </c>
      <c r="D16" s="117">
        <f>IF('Building Typology'!$O16="Gas",(C16*'Global Inputs'!$D$42),0)</f>
        <v>316795.05114522931</v>
      </c>
      <c r="E16" s="115">
        <f>(D16/'Building Typology'!$K16)</f>
        <v>1.4715625895132309</v>
      </c>
      <c r="F16" s="115">
        <f>IF(E16=0,0,E16+'FS - Operational'!BP16)</f>
        <v>4.0818037025309168</v>
      </c>
      <c r="G16" s="116">
        <f t="shared" si="6"/>
        <v>0</v>
      </c>
      <c r="H16" s="44"/>
      <c r="I16" s="100">
        <f>'FS - Capital Output'!T16</f>
        <v>11317936.288763542</v>
      </c>
      <c r="J16" s="117">
        <f>IF('Building Typology'!$O16="Gas",(I16*'Global Inputs'!$D$45),0)</f>
        <v>736247.99773120799</v>
      </c>
      <c r="K16" s="115">
        <f>(J16/'Building Typology'!$K16)</f>
        <v>3.419987168829179</v>
      </c>
      <c r="L16" s="115">
        <f>IF(K16=0,0,K16+'FS - Operational'!BR16)</f>
        <v>4.8468947276335399</v>
      </c>
      <c r="M16" s="116">
        <f t="shared" si="7"/>
        <v>0.77</v>
      </c>
      <c r="N16" s="44"/>
      <c r="O16" s="100">
        <f>'FS - Capital Output'!AC16</f>
        <v>7015715.1784010949</v>
      </c>
      <c r="P16" s="117">
        <f>IF('Building Typology'!$O16="Gas",(O16*'Global Inputs'!$D$46),0)</f>
        <v>456382.34046946984</v>
      </c>
      <c r="Q16" s="115">
        <f>(P16/'Building Typology'!$K16)</f>
        <v>2.1199673931821637</v>
      </c>
      <c r="R16" s="115">
        <f>IF(Q16=0,0,Q16+'FS - Operational'!BT16)</f>
        <v>3.5468749519865241</v>
      </c>
      <c r="S16" s="116">
        <f t="shared" si="8"/>
        <v>-0.53</v>
      </c>
      <c r="T16" s="44"/>
      <c r="U16" s="100">
        <f>'FS - Capital Output'!AL16</f>
        <v>12995600.484629666</v>
      </c>
      <c r="V16" s="117">
        <f>IF('Building Typology'!$O16="Gas",(U16*'Global Inputs'!$D$47),0)</f>
        <v>845382.46125509765</v>
      </c>
      <c r="W16" s="115">
        <f>(V16/'Building Typology'!$K16)</f>
        <v>3.9269338309306927</v>
      </c>
      <c r="X16" s="115">
        <f>IF(W16=0,0,W16+'FS - Operational'!BV16)</f>
        <v>5.2157535614636634</v>
      </c>
      <c r="Y16" s="116">
        <f t="shared" si="9"/>
        <v>1.1299999999999999</v>
      </c>
      <c r="Z16" s="44"/>
      <c r="AA16" s="100">
        <f>'FS - Capital Output'!AV16</f>
        <v>6077231.52703375</v>
      </c>
      <c r="AB16" s="100">
        <f>IF('Building Typology'!$O16="Gas",(AA16*'Global Inputs'!$D$44),0)</f>
        <v>395332.63214864611</v>
      </c>
      <c r="AC16" s="115">
        <f>(AB16/'Building Typology'!$K16)</f>
        <v>1.8363819440381559</v>
      </c>
      <c r="AD16" s="115">
        <f>IF(AC16=0,0,AC16+'FS - Operational'!BW16)</f>
        <v>5.9132606834791872</v>
      </c>
      <c r="AE16" s="116">
        <f t="shared" si="10"/>
        <v>1.83</v>
      </c>
      <c r="AF16" s="44"/>
      <c r="AG16" s="100">
        <f>'FS - Capital Output'!BF16</f>
        <v>3890954.3258420057</v>
      </c>
      <c r="AH16" s="117">
        <f>IF('Building Typology'!$O16="Gas",(AG16*'Global Inputs'!$D$43),0)</f>
        <v>253112.16272783256</v>
      </c>
      <c r="AI16" s="115">
        <f>(AH16/'Building Typology'!$K16)</f>
        <v>1.1757456067402734</v>
      </c>
      <c r="AJ16" s="115">
        <f>IF(AI16=0,0,AI16+'FS - Operational'!BY16)</f>
        <v>7.5886887309418576</v>
      </c>
      <c r="AK16" s="116">
        <f t="shared" si="11"/>
        <v>3.51</v>
      </c>
      <c r="AL16" s="44"/>
    </row>
    <row r="17" spans="1:38" x14ac:dyDescent="0.3">
      <c r="A17" s="44" t="str">
        <f>IF('Building Typology'!A17=0," ",'Building Typology'!A17)</f>
        <v xml:space="preserve"> </v>
      </c>
      <c r="B17" s="44"/>
      <c r="C17" s="108"/>
      <c r="D17" s="108"/>
      <c r="E17" s="113"/>
      <c r="F17" s="113"/>
      <c r="G17" s="113"/>
      <c r="H17" s="44"/>
      <c r="I17" s="108"/>
      <c r="J17" s="108"/>
      <c r="K17" s="113"/>
      <c r="L17" s="113"/>
      <c r="M17" s="113"/>
      <c r="N17" s="44"/>
      <c r="O17" s="108"/>
      <c r="P17" s="108"/>
      <c r="Q17" s="113"/>
      <c r="R17" s="113"/>
      <c r="S17" s="113"/>
      <c r="T17" s="44"/>
      <c r="U17" s="108"/>
      <c r="V17" s="108"/>
      <c r="W17" s="113"/>
      <c r="X17" s="113"/>
      <c r="Y17" s="113"/>
      <c r="Z17" s="44"/>
      <c r="AA17" s="108"/>
      <c r="AB17" s="108"/>
      <c r="AC17" s="113"/>
      <c r="AD17" s="113"/>
      <c r="AE17" s="113"/>
      <c r="AF17" s="44"/>
      <c r="AG17" s="108"/>
      <c r="AH17" s="108"/>
      <c r="AI17" s="113"/>
      <c r="AJ17" s="113"/>
      <c r="AK17" s="113"/>
      <c r="AL17" s="44"/>
    </row>
    <row r="18" spans="1:38" ht="16.5" x14ac:dyDescent="0.3">
      <c r="A18" s="98" t="str">
        <f>IF('Building Typology'!A18=0," ",'Building Typology'!A18)</f>
        <v>MULTI-UNIT RESIDENTIAL</v>
      </c>
      <c r="B18" s="44"/>
      <c r="C18" s="100"/>
      <c r="D18" s="100"/>
      <c r="E18" s="115"/>
      <c r="F18" s="115"/>
      <c r="G18" s="115"/>
      <c r="H18" s="44"/>
      <c r="I18" s="100"/>
      <c r="J18" s="100"/>
      <c r="K18" s="115"/>
      <c r="L18" s="115"/>
      <c r="M18" s="115"/>
      <c r="N18" s="44"/>
      <c r="O18" s="100"/>
      <c r="P18" s="100"/>
      <c r="Q18" s="115"/>
      <c r="R18" s="115"/>
      <c r="S18" s="115"/>
      <c r="T18" s="44"/>
      <c r="U18" s="100"/>
      <c r="V18" s="100"/>
      <c r="W18" s="115"/>
      <c r="X18" s="115"/>
      <c r="Y18" s="115"/>
      <c r="Z18" s="44"/>
      <c r="AA18" s="100"/>
      <c r="AB18" s="100"/>
      <c r="AC18" s="115"/>
      <c r="AD18" s="115"/>
      <c r="AE18" s="115"/>
      <c r="AF18" s="44"/>
      <c r="AG18" s="100"/>
      <c r="AH18" s="100"/>
      <c r="AI18" s="115"/>
      <c r="AJ18" s="115"/>
      <c r="AK18" s="115"/>
      <c r="AL18" s="44"/>
    </row>
    <row r="19" spans="1:38" x14ac:dyDescent="0.3">
      <c r="A19" s="46" t="str">
        <f>IF('Building Typology'!A19=0," ",'Building Typology'!A19)</f>
        <v>Pre-2004 apartment - gas boiler</v>
      </c>
      <c r="B19" s="44"/>
      <c r="C19" s="100">
        <f>'FS - Capital Output'!K19</f>
        <v>3171971.875349225</v>
      </c>
      <c r="D19" s="117">
        <f>IF('Building Typology'!$O19="Gas",(C19*'Global Inputs'!$D$42),0)</f>
        <v>254527.22977413083</v>
      </c>
      <c r="E19" s="115">
        <f>(D19/'Building Typology'!$K19)</f>
        <v>1.0651520852447769</v>
      </c>
      <c r="F19" s="115">
        <f>IF(E19=0,0,E19+'FS - Operational'!BP19)</f>
        <v>2.0528883862244269</v>
      </c>
      <c r="G19" s="116">
        <f t="shared" ref="G19:G20" si="12">ROUND(F19-$F19,2)</f>
        <v>0</v>
      </c>
      <c r="H19" s="44"/>
      <c r="I19" s="100">
        <f>'FS - Capital Output'!T19</f>
        <v>13471505.913349496</v>
      </c>
      <c r="J19" s="117">
        <f>IF('Building Typology'!$O19="Gas",(I19*'Global Inputs'!$D$45),0)</f>
        <v>876340.79235581681</v>
      </c>
      <c r="K19" s="115">
        <f>(J19/'Building Typology'!$K19)</f>
        <v>3.6673334447995836</v>
      </c>
      <c r="L19" s="115">
        <f>IF(K19=0,0,K19+'FS - Operational'!BR19)</f>
        <v>4.2792805577324193</v>
      </c>
      <c r="M19" s="116">
        <f t="shared" ref="M19:M20" si="13">ROUND(L19-$F19,2)</f>
        <v>2.23</v>
      </c>
      <c r="N19" s="44"/>
      <c r="O19" s="100">
        <f>'FS - Capital Output'!AC19</f>
        <v>8437786.905490648</v>
      </c>
      <c r="P19" s="117">
        <f>IF('Building Typology'!$O19="Gas",(O19*'Global Inputs'!$D$46),0)</f>
        <v>548890.14710373268</v>
      </c>
      <c r="Q19" s="115">
        <f>(P19/'Building Typology'!$K19)</f>
        <v>2.2970095784120108</v>
      </c>
      <c r="R19" s="115">
        <f>IF(Q19=0,0,Q19+'FS - Operational'!BT19)</f>
        <v>2.9089566913448466</v>
      </c>
      <c r="S19" s="116">
        <f t="shared" ref="S19:S20" si="14">ROUND(R19-$F19,2)</f>
        <v>0.86</v>
      </c>
      <c r="T19" s="44"/>
      <c r="U19" s="100">
        <f>'FS - Capital Output'!AL19</f>
        <v>11832017.052027125</v>
      </c>
      <c r="V19" s="117">
        <f>IF('Building Typology'!$O19="Gas",(U19*'Global Inputs'!$D$47),0)</f>
        <v>769689.68912866805</v>
      </c>
      <c r="W19" s="115">
        <f>(V19/'Building Typology'!$K19)</f>
        <v>3.2210171701249148</v>
      </c>
      <c r="X19" s="115">
        <f>IF(W19=0,0,W19+'FS - Operational'!BV19)</f>
        <v>3.7737435947094116</v>
      </c>
      <c r="Y19" s="116">
        <f t="shared" ref="Y19:Y20" si="15">ROUND(X19-$F19,2)</f>
        <v>1.72</v>
      </c>
      <c r="Z19" s="44"/>
      <c r="AA19" s="100">
        <f>'FS - Capital Output'!AV19</f>
        <v>4936557.8261629734</v>
      </c>
      <c r="AB19" s="100">
        <f>IF('Building Typology'!$O19="Gas",(AA19*'Global Inputs'!$D$44),0)</f>
        <v>321130.17094867193</v>
      </c>
      <c r="AC19" s="115">
        <f>(AB19/'Building Typology'!$K19)</f>
        <v>1.3438737832668404</v>
      </c>
      <c r="AD19" s="115">
        <f>IF(AC19=0,0,AC19+'FS - Operational'!BW19)</f>
        <v>3.0922941059320852</v>
      </c>
      <c r="AE19" s="116">
        <f t="shared" ref="AE19:AE20" si="16">ROUND(AD19-$F19,2)</f>
        <v>1.04</v>
      </c>
      <c r="AF19" s="44"/>
      <c r="AG19" s="100">
        <f>'FS - Capital Output'!BF19</f>
        <v>2934772.8098775046</v>
      </c>
      <c r="AH19" s="117">
        <f>IF('Building Typology'!$O19="Gas",(AG19*'Global Inputs'!$D$43),0)</f>
        <v>190911.18291710739</v>
      </c>
      <c r="AI19" s="115">
        <f>(AH19/'Building Typology'!$K19)</f>
        <v>0.79893001924060392</v>
      </c>
      <c r="AJ19" s="115">
        <f>IF(AI19=0,0,AI19+'FS - Operational'!BY19)</f>
        <v>3.2256394478453458</v>
      </c>
      <c r="AK19" s="116">
        <f t="shared" ref="AK19:AK20" si="17">ROUND(AJ19-$F19,2)</f>
        <v>1.17</v>
      </c>
      <c r="AL19" s="44"/>
    </row>
    <row r="20" spans="1:38" x14ac:dyDescent="0.3">
      <c r="A20" s="46" t="str">
        <f>IF('Building Typology'!A20=0," ",'Building Typology'!A20)</f>
        <v>Pre-2004 apartment - electric</v>
      </c>
      <c r="B20" s="44"/>
      <c r="C20" s="100">
        <f>'FS - Capital Output'!K20</f>
        <v>2730507.0157731161</v>
      </c>
      <c r="D20" s="117">
        <f>IF('Building Typology'!$O20="Gas",(C20*'Global Inputs'!$D$42),0)</f>
        <v>0</v>
      </c>
      <c r="E20" s="115">
        <f>(D20/'Building Typology'!$K20)</f>
        <v>0</v>
      </c>
      <c r="F20" s="115">
        <f>IF(E20=0,0,E20+'FS - Operational'!BP20)</f>
        <v>0</v>
      </c>
      <c r="G20" s="116">
        <f t="shared" si="12"/>
        <v>0</v>
      </c>
      <c r="H20" s="44"/>
      <c r="I20" s="100">
        <f>'FS - Capital Output'!T20</f>
        <v>3613861.7664177972</v>
      </c>
      <c r="J20" s="117">
        <f>IF('Building Typology'!$O20="Gas",(I20*'Global Inputs'!$D$45),0)</f>
        <v>0</v>
      </c>
      <c r="K20" s="115">
        <f>(J20/'Building Typology'!$K20)</f>
        <v>0</v>
      </c>
      <c r="L20" s="115">
        <f>IF(K20=0,0,K20+'FS - Operational'!BR20)</f>
        <v>0</v>
      </c>
      <c r="M20" s="116">
        <f t="shared" si="13"/>
        <v>0</v>
      </c>
      <c r="N20" s="44"/>
      <c r="O20" s="100">
        <f>'FS - Capital Output'!AC20</f>
        <v>2110053.3832088988</v>
      </c>
      <c r="P20" s="117">
        <f>IF('Building Typology'!$O20="Gas",(O20*'Global Inputs'!$D$46),0)</f>
        <v>0</v>
      </c>
      <c r="Q20" s="115">
        <f>(P20/'Building Typology'!$K20)</f>
        <v>0</v>
      </c>
      <c r="R20" s="115">
        <f>IF(Q20=0,0,Q20+'FS - Operational'!BT20)</f>
        <v>0</v>
      </c>
      <c r="S20" s="116">
        <f t="shared" si="14"/>
        <v>0</v>
      </c>
      <c r="T20" s="44"/>
      <c r="U20" s="100">
        <f>'FS - Capital Output'!AL20</f>
        <v>6955922.9770271219</v>
      </c>
      <c r="V20" s="117">
        <f>IF('Building Typology'!$O20="Gas",(U20*'Global Inputs'!$D$47),0)</f>
        <v>0</v>
      </c>
      <c r="W20" s="115">
        <f>(V20/'Building Typology'!$K20)</f>
        <v>0</v>
      </c>
      <c r="X20" s="115">
        <f>IF(W20=0,0,W20+'FS - Operational'!BV20)</f>
        <v>0</v>
      </c>
      <c r="Y20" s="116">
        <f t="shared" si="15"/>
        <v>0</v>
      </c>
      <c r="Z20" s="44"/>
      <c r="AA20" s="100">
        <f>'FS - Capital Output'!AV20</f>
        <v>3032305.4042627239</v>
      </c>
      <c r="AB20" s="100">
        <f>IF('Building Typology'!$O20="Gas",(AA20*'Global Inputs'!$D$44),0)</f>
        <v>0</v>
      </c>
      <c r="AC20" s="115">
        <f>(AB20/'Building Typology'!$K20)</f>
        <v>0</v>
      </c>
      <c r="AD20" s="115">
        <f>IF(AC20=0,0,AC20+'FS - Operational'!BW20)</f>
        <v>0</v>
      </c>
      <c r="AE20" s="116">
        <f t="shared" si="16"/>
        <v>0</v>
      </c>
      <c r="AF20" s="44"/>
      <c r="AG20" s="100">
        <f>'FS - Capital Output'!BF20</f>
        <v>1961178.8848296751</v>
      </c>
      <c r="AH20" s="117">
        <f>IF('Building Typology'!$O20="Gas",(AG20*'Global Inputs'!$D$43),0)</f>
        <v>0</v>
      </c>
      <c r="AI20" s="115">
        <f>(AH20/'Building Typology'!$K20)</f>
        <v>0</v>
      </c>
      <c r="AJ20" s="115">
        <f>IF(AI20=0,0,AI20+'FS - Operational'!BY20)</f>
        <v>0</v>
      </c>
      <c r="AK20" s="116">
        <f t="shared" si="17"/>
        <v>0</v>
      </c>
      <c r="AL20" s="44"/>
    </row>
    <row r="21" spans="1:38" x14ac:dyDescent="0.3">
      <c r="A21" s="46" t="str">
        <f>IF('Building Typology'!A21=0," ",'Building Typology'!A21)</f>
        <v>Post-2004 condo (window glazing alternate)</v>
      </c>
      <c r="B21" s="44"/>
      <c r="C21" s="100"/>
      <c r="D21" s="117"/>
      <c r="E21" s="115"/>
      <c r="F21" s="115"/>
      <c r="G21" s="116"/>
      <c r="H21" s="44"/>
      <c r="I21" s="100"/>
      <c r="J21" s="117"/>
      <c r="K21" s="115"/>
      <c r="L21" s="115"/>
      <c r="M21" s="116"/>
      <c r="N21" s="44"/>
      <c r="O21" s="100"/>
      <c r="P21" s="117"/>
      <c r="Q21" s="115"/>
      <c r="R21" s="115">
        <f>IF(Q21=0,0,Q21+'FS - Operational'!BT21)</f>
        <v>0</v>
      </c>
      <c r="S21" s="116"/>
      <c r="T21" s="44"/>
      <c r="U21" s="100"/>
      <c r="V21" s="117"/>
      <c r="W21" s="115"/>
      <c r="X21" s="115">
        <f>IF(W21=0,0,W21+'FS - Operational'!BV21)</f>
        <v>0</v>
      </c>
      <c r="Y21" s="116"/>
      <c r="Z21" s="44"/>
      <c r="AA21" s="100"/>
      <c r="AB21" s="100"/>
      <c r="AC21" s="115"/>
      <c r="AD21" s="115"/>
      <c r="AE21" s="116"/>
      <c r="AF21" s="44"/>
      <c r="AG21" s="100"/>
      <c r="AH21" s="117"/>
      <c r="AI21" s="115"/>
      <c r="AJ21" s="115"/>
      <c r="AK21" s="116"/>
      <c r="AL21" s="44"/>
    </row>
    <row r="22" spans="1:38" x14ac:dyDescent="0.3">
      <c r="A22" s="46" t="str">
        <f>IF('Building Typology'!A22=0," ",'Building Typology'!A22)</f>
        <v>Post-2004 condo</v>
      </c>
      <c r="B22" s="44"/>
      <c r="C22" s="100">
        <f>'FS - Capital Output'!K22</f>
        <v>3070271.859351981</v>
      </c>
      <c r="D22" s="117">
        <f>IF('Building Typology'!$O22="Gas",(C22*'Global Inputs'!$D$42),0)</f>
        <v>246366.55737317726</v>
      </c>
      <c r="E22" s="115">
        <f>(D22/'Building Typology'!$K22)</f>
        <v>1.0172544126330803</v>
      </c>
      <c r="F22" s="115">
        <f>IF(E22=0,0,E22+'FS - Operational'!BP22)</f>
        <v>2.004990713612731</v>
      </c>
      <c r="G22" s="116">
        <f>ROUND(F22-$F22,2)</f>
        <v>0</v>
      </c>
      <c r="H22" s="44"/>
      <c r="I22" s="100">
        <f>'FS - Capital Output'!T22</f>
        <v>13620561.871638002</v>
      </c>
      <c r="J22" s="117">
        <f>IF('Building Typology'!$O22="Gas",(I22*'Global Inputs'!$D$45),0)</f>
        <v>886037.09634974995</v>
      </c>
      <c r="K22" s="115">
        <f>(J22/'Building Typology'!$K22)</f>
        <v>3.6584719761827342</v>
      </c>
      <c r="L22" s="115">
        <f>IF(K22=0,0,K22+'FS - Operational'!BR22)</f>
        <v>4.3064159781116196</v>
      </c>
      <c r="M22" s="116">
        <f>ROUND(L22-$F22,2)</f>
        <v>2.2999999999999998</v>
      </c>
      <c r="N22" s="44"/>
      <c r="O22" s="100">
        <f>'FS - Capital Output'!AC22</f>
        <v>8518819.6339432262</v>
      </c>
      <c r="P22" s="117">
        <f>IF('Building Typology'!$O22="Gas",(O22*'Global Inputs'!$D$46),0)</f>
        <v>554161.44237804331</v>
      </c>
      <c r="Q22" s="115">
        <f>(P22/'Building Typology'!$K22)</f>
        <v>2.2881481097951624</v>
      </c>
      <c r="R22" s="115">
        <f>IF(Q22=0,0,Q22+'FS - Operational'!BT22)</f>
        <v>2.9360921117240473</v>
      </c>
      <c r="S22" s="116">
        <f>ROUND(R22-$F22,2)</f>
        <v>0.93</v>
      </c>
      <c r="T22" s="44"/>
      <c r="U22" s="100">
        <f>'FS - Capital Output'!AL22</f>
        <v>11720351.0483383</v>
      </c>
      <c r="V22" s="117">
        <f>IF('Building Typology'!$O22="Gas",(U22*'Global Inputs'!$D$47),0)</f>
        <v>762425.65533903043</v>
      </c>
      <c r="W22" s="115">
        <f>(V22/'Building Typology'!$K22)</f>
        <v>3.1480768756430928</v>
      </c>
      <c r="X22" s="115">
        <f>IF(W22=0,0,W22+'FS - Operational'!BV22)</f>
        <v>3.7333166193207954</v>
      </c>
      <c r="Y22" s="116">
        <f>ROUND(X22-$F22,2)</f>
        <v>1.73</v>
      </c>
      <c r="Z22" s="44"/>
      <c r="AA22" s="100">
        <f>'FS - Capital Output'!AV22</f>
        <v>4825490.7284199698</v>
      </c>
      <c r="AB22" s="100">
        <f>IF('Building Typology'!$O22="Gas",(AA22*'Global Inputs'!$D$44),0)</f>
        <v>313905.09685028822</v>
      </c>
      <c r="AC22" s="115">
        <f>(AB22/'Building Typology'!$K22)</f>
        <v>1.296122932932356</v>
      </c>
      <c r="AD22" s="115">
        <f>IF(AC22=0,0,AC22+'FS - Operational'!BW22)</f>
        <v>3.1473915098720275</v>
      </c>
      <c r="AE22" s="116">
        <f>ROUND(AD22-$F22,2)</f>
        <v>1.1399999999999999</v>
      </c>
      <c r="AF22" s="44"/>
      <c r="AG22" s="100">
        <f>'FS - Capital Output'!BF22</f>
        <v>2829867.4011036153</v>
      </c>
      <c r="AH22" s="117">
        <f>IF('Building Typology'!$O22="Gas",(AG22*'Global Inputs'!$D$43),0)</f>
        <v>184086.93552868284</v>
      </c>
      <c r="AI22" s="115">
        <f>(AH22/'Building Typology'!$K22)</f>
        <v>0.76010011046670545</v>
      </c>
      <c r="AJ22" s="115">
        <f>IF(AI22=0,0,AI22+'FS - Operational'!BY22)</f>
        <v>3.1868095390714477</v>
      </c>
      <c r="AK22" s="116">
        <f>ROUND(AJ22-$F22,2)</f>
        <v>1.18</v>
      </c>
      <c r="AL22" s="44"/>
    </row>
    <row r="23" spans="1:38" x14ac:dyDescent="0.3">
      <c r="A23" s="44" t="str">
        <f>IF('Building Typology'!A23=0," ",'Building Typology'!A23)</f>
        <v xml:space="preserve"> </v>
      </c>
      <c r="B23" s="44"/>
      <c r="C23" s="108"/>
      <c r="D23" s="108"/>
      <c r="E23" s="113"/>
      <c r="F23" s="113"/>
      <c r="G23" s="113"/>
      <c r="H23" s="44"/>
      <c r="I23" s="108"/>
      <c r="J23" s="108"/>
      <c r="K23" s="113"/>
      <c r="L23" s="113"/>
      <c r="M23" s="113"/>
      <c r="N23" s="44"/>
      <c r="O23" s="108"/>
      <c r="P23" s="108"/>
      <c r="Q23" s="113"/>
      <c r="R23" s="113"/>
      <c r="S23" s="113"/>
      <c r="T23" s="44"/>
      <c r="U23" s="108"/>
      <c r="V23" s="108"/>
      <c r="W23" s="113"/>
      <c r="X23" s="113"/>
      <c r="Y23" s="113"/>
      <c r="Z23" s="44"/>
      <c r="AA23" s="108"/>
      <c r="AB23" s="108"/>
      <c r="AC23" s="113"/>
      <c r="AD23" s="113"/>
      <c r="AE23" s="113"/>
      <c r="AF23" s="44"/>
      <c r="AG23" s="108"/>
      <c r="AH23" s="108"/>
      <c r="AI23" s="113"/>
      <c r="AJ23" s="113"/>
      <c r="AK23" s="113"/>
      <c r="AL23" s="44"/>
    </row>
    <row r="24" spans="1:38" ht="16.5" x14ac:dyDescent="0.3">
      <c r="A24" s="98" t="str">
        <f>IF('Building Typology'!A24=0," ",'Building Typology'!A24)</f>
        <v>RESIDENTIAL</v>
      </c>
      <c r="B24" s="44"/>
      <c r="C24" s="100"/>
      <c r="D24" s="100"/>
      <c r="E24" s="115"/>
      <c r="F24" s="115"/>
      <c r="G24" s="115"/>
      <c r="H24" s="44"/>
      <c r="I24" s="100"/>
      <c r="J24" s="100"/>
      <c r="K24" s="115"/>
      <c r="L24" s="115"/>
      <c r="M24" s="115"/>
      <c r="N24" s="44"/>
      <c r="O24" s="100"/>
      <c r="P24" s="100"/>
      <c r="Q24" s="115"/>
      <c r="R24" s="115"/>
      <c r="S24" s="115"/>
      <c r="T24" s="44"/>
      <c r="U24" s="100"/>
      <c r="V24" s="100"/>
      <c r="W24" s="115"/>
      <c r="X24" s="115"/>
      <c r="Y24" s="115"/>
      <c r="Z24" s="44"/>
      <c r="AA24" s="100"/>
      <c r="AB24" s="100"/>
      <c r="AC24" s="115"/>
      <c r="AD24" s="115"/>
      <c r="AE24" s="115"/>
      <c r="AF24" s="44"/>
      <c r="AG24" s="100"/>
      <c r="AH24" s="100"/>
      <c r="AI24" s="115"/>
      <c r="AJ24" s="115"/>
      <c r="AK24" s="115"/>
      <c r="AL24" s="44"/>
    </row>
    <row r="25" spans="1:38" ht="31.5" x14ac:dyDescent="0.3">
      <c r="A25" s="46" t="str">
        <f>IF('Building Typology'!A25=0," ",'Building Typology'!A25)</f>
        <v>Typical house
(Pitched Roof)(Int. Wall Reno)</v>
      </c>
      <c r="B25" s="44"/>
      <c r="C25" s="100"/>
      <c r="D25" s="100"/>
      <c r="E25" s="115"/>
      <c r="F25" s="115"/>
      <c r="G25" s="115"/>
      <c r="H25" s="44"/>
      <c r="I25" s="100"/>
      <c r="J25" s="100"/>
      <c r="K25" s="115"/>
      <c r="L25" s="115"/>
      <c r="M25" s="115"/>
      <c r="N25" s="44"/>
      <c r="O25" s="100"/>
      <c r="P25" s="100"/>
      <c r="Q25" s="115"/>
      <c r="R25" s="115"/>
      <c r="S25" s="115"/>
      <c r="T25" s="44"/>
      <c r="U25" s="100"/>
      <c r="V25" s="100"/>
      <c r="W25" s="115"/>
      <c r="X25" s="115"/>
      <c r="Y25" s="115"/>
      <c r="Z25" s="44"/>
      <c r="AA25" s="100"/>
      <c r="AB25" s="100"/>
      <c r="AC25" s="115"/>
      <c r="AD25" s="115"/>
      <c r="AE25" s="115"/>
      <c r="AF25" s="44"/>
      <c r="AG25" s="100"/>
      <c r="AH25" s="100"/>
      <c r="AI25" s="115"/>
      <c r="AJ25" s="115"/>
      <c r="AK25" s="115"/>
      <c r="AL25" s="44"/>
    </row>
    <row r="26" spans="1:38" ht="31.5" x14ac:dyDescent="0.3">
      <c r="A26" s="46" t="str">
        <f>IF('Building Typology'!A26=0," ",'Building Typology'!A26)</f>
        <v>Typical house
(Flat Roof)(Ext. Wall Reno)</v>
      </c>
      <c r="B26" s="44"/>
      <c r="C26" s="100">
        <f>'FS - Capital Output'!K26</f>
        <v>58658.3</v>
      </c>
      <c r="D26" s="117">
        <f>IF('Building Typology'!$O26="Gas",(C26*'Global Inputs'!$D$42),0)</f>
        <v>4706.8937522077285</v>
      </c>
      <c r="E26" s="115">
        <f>(D26/'Building Typology'!$K26)</f>
        <v>1.9434896076319832</v>
      </c>
      <c r="F26" s="115">
        <f>IF(E26=0,0,E26+'FS - Operational'!BP26)</f>
        <v>2.832289391662997</v>
      </c>
      <c r="G26" s="116">
        <f>ROUND(F26-$F26,2)</f>
        <v>0</v>
      </c>
      <c r="H26" s="44"/>
      <c r="I26" s="100">
        <f>'FS - Capital Output'!T26</f>
        <v>52432</v>
      </c>
      <c r="J26" s="117">
        <f>IF('Building Typology'!$O26="Gas",(I26*'Global Inputs'!$D$45),0)</f>
        <v>3410.7768441290618</v>
      </c>
      <c r="K26" s="115">
        <f>(J26/'Building Typology'!$K26)</f>
        <v>1.4083193076978757</v>
      </c>
      <c r="L26" s="115">
        <f>IF(K26=0,0,K26+'FS - Operational'!BR26)</f>
        <v>1.9589707935991845</v>
      </c>
      <c r="M26" s="116">
        <f>ROUND(L26-$F26,2)</f>
        <v>-0.87</v>
      </c>
      <c r="N26" s="44"/>
      <c r="O26" s="100">
        <f>'FS - Capital Output'!AC26</f>
        <v>52432</v>
      </c>
      <c r="P26" s="117">
        <f>IF('Building Typology'!$O26="Gas",(O26*'Global Inputs'!$D$46),0)</f>
        <v>3410.7768441290618</v>
      </c>
      <c r="Q26" s="115">
        <f>(P26/'Building Typology'!$K26)</f>
        <v>1.4083193076978757</v>
      </c>
      <c r="R26" s="115">
        <f>IF(Q26=0,0,Q26+'FS - Operational'!BT26)</f>
        <v>1.9589707935991845</v>
      </c>
      <c r="S26" s="116">
        <f>ROUND(R26-$F26,2)</f>
        <v>-0.87</v>
      </c>
      <c r="T26" s="44"/>
      <c r="U26" s="100">
        <f>'FS - Capital Output'!AL26</f>
        <v>67579.042912267178</v>
      </c>
      <c r="V26" s="117">
        <f>IF('Building Typology'!$O26="Gas",(U26*'Global Inputs'!$D$47),0)</f>
        <v>4396.1137227945737</v>
      </c>
      <c r="W26" s="115">
        <f>(V26/'Building Typology'!$K26)</f>
        <v>1.8151676634324294</v>
      </c>
      <c r="X26" s="115">
        <f>IF(W26=0,0,W26+'FS - Operational'!BV26)</f>
        <v>2.3125302958594181</v>
      </c>
      <c r="Y26" s="116">
        <f>ROUND(X26-$F26,2)</f>
        <v>-0.52</v>
      </c>
      <c r="Z26" s="44"/>
      <c r="AA26" s="100">
        <f>'FS - Capital Output'!AV26</f>
        <v>70854.892567500006</v>
      </c>
      <c r="AB26" s="100">
        <f>IF('Building Typology'!$O26="Gas",(AA26*'Global Inputs'!$D$44),0)</f>
        <v>4609.2124439746985</v>
      </c>
      <c r="AC26" s="115">
        <f>(AB26/'Building Typology'!$K26)</f>
        <v>1.9031567219955172</v>
      </c>
      <c r="AD26" s="115">
        <f>IF(AC26=0,0,AC26+'FS - Operational'!BW26)</f>
        <v>3.4764466817135427</v>
      </c>
      <c r="AE26" s="116">
        <f>ROUND(AD26-$F26,2)</f>
        <v>0.64</v>
      </c>
      <c r="AF26" s="44"/>
      <c r="AG26" s="100">
        <f>'FS - Capital Output'!BF26</f>
        <v>54562.05</v>
      </c>
      <c r="AH26" s="117">
        <f>IF('Building Typology'!$O26="Gas",(AG26*'Global Inputs'!$D$43),0)</f>
        <v>3549.339653421805</v>
      </c>
      <c r="AI26" s="115">
        <f>(AH26/'Building Typology'!$K26)</f>
        <v>1.4655322795731018</v>
      </c>
      <c r="AJ26" s="115">
        <f>IF(AI26=0,0,AI26+'FS - Operational'!BY26)</f>
        <v>3.6491705784902493</v>
      </c>
      <c r="AK26" s="116">
        <f>ROUND(AJ26-$F26,2)</f>
        <v>0.82</v>
      </c>
      <c r="AL26" s="44"/>
    </row>
    <row r="27" spans="1:38" x14ac:dyDescent="0.3">
      <c r="A27" s="44" t="str">
        <f>IF('Building Typology'!A27=0," ",'Building Typology'!A27)</f>
        <v xml:space="preserve"> </v>
      </c>
      <c r="B27" s="44"/>
      <c r="C27" s="108"/>
      <c r="D27" s="108"/>
      <c r="E27" s="113"/>
      <c r="F27" s="113"/>
      <c r="G27" s="113"/>
      <c r="H27" s="44"/>
      <c r="I27" s="108"/>
      <c r="J27" s="108"/>
      <c r="K27" s="113"/>
      <c r="L27" s="113"/>
      <c r="M27" s="113"/>
      <c r="N27" s="44"/>
      <c r="O27" s="108"/>
      <c r="P27" s="108"/>
      <c r="Q27" s="113"/>
      <c r="R27" s="113"/>
      <c r="S27" s="113"/>
      <c r="T27" s="44"/>
      <c r="U27" s="108"/>
      <c r="V27" s="108"/>
      <c r="W27" s="113"/>
      <c r="X27" s="113"/>
      <c r="Y27" s="113"/>
      <c r="Z27" s="44"/>
      <c r="AA27" s="108"/>
      <c r="AB27" s="108"/>
      <c r="AC27" s="113"/>
      <c r="AD27" s="113"/>
      <c r="AE27" s="113"/>
      <c r="AF27" s="44"/>
      <c r="AG27" s="108"/>
      <c r="AH27" s="108"/>
      <c r="AI27" s="113"/>
      <c r="AJ27" s="113"/>
      <c r="AK27" s="113"/>
      <c r="AL27" s="44"/>
    </row>
    <row r="28" spans="1:38" ht="16.5" x14ac:dyDescent="0.3">
      <c r="A28" s="98" t="str">
        <f>IF('Building Typology'!A28=0," ",'Building Typology'!A28)</f>
        <v>INSTITUTIONAL</v>
      </c>
      <c r="B28" s="44"/>
      <c r="C28" s="100"/>
      <c r="D28" s="100"/>
      <c r="E28" s="115"/>
      <c r="F28" s="115"/>
      <c r="G28" s="115"/>
      <c r="H28" s="44"/>
      <c r="I28" s="100"/>
      <c r="J28" s="100"/>
      <c r="K28" s="115"/>
      <c r="L28" s="115"/>
      <c r="M28" s="115"/>
      <c r="N28" s="44"/>
      <c r="O28" s="100"/>
      <c r="P28" s="100"/>
      <c r="Q28" s="115"/>
      <c r="R28" s="115"/>
      <c r="S28" s="115"/>
      <c r="T28" s="44"/>
      <c r="U28" s="100"/>
      <c r="V28" s="100"/>
      <c r="W28" s="115"/>
      <c r="X28" s="115"/>
      <c r="Y28" s="115"/>
      <c r="Z28" s="44"/>
      <c r="AA28" s="100"/>
      <c r="AB28" s="100"/>
      <c r="AC28" s="115"/>
      <c r="AD28" s="115"/>
      <c r="AE28" s="115"/>
      <c r="AF28" s="44"/>
      <c r="AG28" s="100"/>
      <c r="AH28" s="100"/>
      <c r="AI28" s="115"/>
      <c r="AJ28" s="115"/>
      <c r="AK28" s="115"/>
      <c r="AL28" s="44"/>
    </row>
    <row r="29" spans="1:38" x14ac:dyDescent="0.3">
      <c r="A29" s="46" t="str">
        <f>IF('Building Typology'!A29=0," ",'Building Typology'!A29)</f>
        <v>High water use hospital (inpatient)</v>
      </c>
      <c r="B29" s="44"/>
      <c r="C29" s="100">
        <f>'FS - Capital Output'!K29</f>
        <v>0</v>
      </c>
      <c r="D29" s="117">
        <f>IF('Building Typology'!$O29="Gas",(C29*'Global Inputs'!$D$42),0)</f>
        <v>0</v>
      </c>
      <c r="E29" s="115">
        <f>(D29/'Building Typology'!$K29)</f>
        <v>0</v>
      </c>
      <c r="F29" s="115">
        <f>IF(E29=0,0,E29+'FS - Operational'!BP29)</f>
        <v>0</v>
      </c>
      <c r="G29" s="116">
        <f t="shared" ref="G29:G31" si="18">ROUND(F29-$F29,2)</f>
        <v>0</v>
      </c>
      <c r="H29" s="44"/>
      <c r="I29" s="100">
        <f>'FS - Capital Output'!T29</f>
        <v>81198269.039420411</v>
      </c>
      <c r="J29" s="117">
        <f>IF('Building Typology'!$O29="Gas",(I29*'Global Inputs'!$D$45),0)</f>
        <v>5282063.9270486888</v>
      </c>
      <c r="K29" s="115">
        <f>(J29/'Building Typology'!$K29)</f>
        <v>4.3971350464942613</v>
      </c>
      <c r="L29" s="115">
        <f>IF(K29=0,0,K29+'FS - Operational'!BR29)</f>
        <v>4.8370507332868584</v>
      </c>
      <c r="M29" s="116">
        <f t="shared" ref="M29:M31" si="19">ROUND(L29-$F29,2)</f>
        <v>4.84</v>
      </c>
      <c r="N29" s="44"/>
      <c r="O29" s="100">
        <f>'FS - Capital Output'!AC29</f>
        <v>45424648.918960206</v>
      </c>
      <c r="P29" s="117">
        <f>IF('Building Typology'!$O29="Gas",(O29*'Global Inputs'!$D$46),0)</f>
        <v>2954938.6001960956</v>
      </c>
      <c r="Q29" s="115">
        <f>(P29/'Building Typology'!$K29)</f>
        <v>2.4598839125411396</v>
      </c>
      <c r="R29" s="115">
        <f>IF(Q29=0,0,Q29+'FS - Operational'!BT29)</f>
        <v>2.8997995993337362</v>
      </c>
      <c r="S29" s="116">
        <f t="shared" ref="S29:S31" si="20">ROUND(R29-$F29,2)</f>
        <v>2.9</v>
      </c>
      <c r="T29" s="44"/>
      <c r="U29" s="100">
        <f>'FS - Capital Output'!AL29</f>
        <v>109560101.89067042</v>
      </c>
      <c r="V29" s="117">
        <f>IF('Building Typology'!$O29="Gas",(U29*'Global Inputs'!$D$47),0)</f>
        <v>7127041.855529434</v>
      </c>
      <c r="W29" s="115">
        <f>(V29/'Building Typology'!$K29)</f>
        <v>5.9330151913345235</v>
      </c>
      <c r="X29" s="115">
        <f>IF(W29=0,0,W29+'FS - Operational'!BV29)</f>
        <v>6.3303583923084821</v>
      </c>
      <c r="Y29" s="116">
        <f t="shared" ref="Y29:Y31" si="21">ROUND(X29-$F29,2)</f>
        <v>6.33</v>
      </c>
      <c r="Z29" s="44"/>
      <c r="AA29" s="100">
        <f>'FS - Capital Output'!AV29</f>
        <v>3874049.5485894</v>
      </c>
      <c r="AB29" s="100">
        <f>IF('Building Typology'!$O29="Gas",(AA29*'Global Inputs'!$D$44),0)</f>
        <v>252012.48270783815</v>
      </c>
      <c r="AC29" s="115">
        <f>(AB29/'Building Typology'!$K29)</f>
        <v>0.20979165250046955</v>
      </c>
      <c r="AD29" s="115">
        <f>IF(AC29=0,0,AC29+'FS - Operational'!BW29)</f>
        <v>1.4666936147650314</v>
      </c>
      <c r="AE29" s="116">
        <f t="shared" ref="AE29:AE31" si="22">ROUND(AD29-$F29,2)</f>
        <v>1.47</v>
      </c>
      <c r="AF29" s="44"/>
      <c r="AG29" s="100">
        <f>'FS - Capital Output'!BF29</f>
        <v>0</v>
      </c>
      <c r="AH29" s="117">
        <f>IF('Building Typology'!$O29="Gas",(AG29*'Global Inputs'!$D$43),0)</f>
        <v>0</v>
      </c>
      <c r="AI29" s="115">
        <f>(AH29/'Building Typology'!$K29)</f>
        <v>0</v>
      </c>
      <c r="AJ29" s="115">
        <f>IF(AI29=0,0,AI29+'FS - Operational'!BY29)</f>
        <v>0</v>
      </c>
      <c r="AK29" s="116">
        <f t="shared" ref="AK29:AK31" si="23">ROUND(AJ29-$F29,2)</f>
        <v>0</v>
      </c>
      <c r="AL29" s="44"/>
    </row>
    <row r="30" spans="1:38" x14ac:dyDescent="0.3">
      <c r="A30" s="46" t="str">
        <f>IF('Building Typology'!A30=0," ",'Building Typology'!A30)</f>
        <v>Low water use hospital (outpatient)</v>
      </c>
      <c r="B30" s="44"/>
      <c r="C30" s="100">
        <f>'FS - Capital Output'!K30</f>
        <v>0</v>
      </c>
      <c r="D30" s="117">
        <f>IF('Building Typology'!$O30="Gas",(C30*'Global Inputs'!$D$42),0)</f>
        <v>0</v>
      </c>
      <c r="E30" s="115">
        <f>(D30/'Building Typology'!$K30)</f>
        <v>0</v>
      </c>
      <c r="F30" s="115">
        <f>IF(E30=0,0,E30+'FS - Operational'!BP30)</f>
        <v>0</v>
      </c>
      <c r="G30" s="116">
        <f t="shared" si="18"/>
        <v>0</v>
      </c>
      <c r="H30" s="44"/>
      <c r="I30" s="100">
        <f>'FS - Capital Output'!T30</f>
        <v>68745917.876547828</v>
      </c>
      <c r="J30" s="117">
        <f>IF('Building Typology'!$O30="Gas",(I30*'Global Inputs'!$D$45),0)</f>
        <v>4472020.6137802759</v>
      </c>
      <c r="K30" s="115">
        <f>(J30/'Building Typology'!$K30)</f>
        <v>13.75938771406974</v>
      </c>
      <c r="L30" s="115">
        <f>IF(K30=0,0,K30+'FS - Operational'!BR30)</f>
        <v>14.199303400862338</v>
      </c>
      <c r="M30" s="116">
        <f t="shared" si="19"/>
        <v>14.2</v>
      </c>
      <c r="N30" s="44"/>
      <c r="O30" s="100">
        <f>'FS - Capital Output'!AC30</f>
        <v>39116219.818273909</v>
      </c>
      <c r="P30" s="117">
        <f>IF('Building Typology'!$O30="Gas",(O30*'Global Inputs'!$D$46),0)</f>
        <v>2544566.2340942733</v>
      </c>
      <c r="Q30" s="115">
        <f>(P30/'Building Typology'!$K30)</f>
        <v>7.8290500878164515</v>
      </c>
      <c r="R30" s="115">
        <f>IF(Q30=0,0,Q30+'FS - Operational'!BT30)</f>
        <v>8.2689657746090486</v>
      </c>
      <c r="S30" s="116">
        <f t="shared" si="20"/>
        <v>8.27</v>
      </c>
      <c r="T30" s="44"/>
      <c r="U30" s="100">
        <f>'FS - Capital Output'!AL30</f>
        <v>96461473.076547831</v>
      </c>
      <c r="V30" s="117">
        <f>IF('Building Typology'!$O30="Gas",(U30*'Global Inputs'!$D$47),0)</f>
        <v>6274957.2535868986</v>
      </c>
      <c r="W30" s="115">
        <f>(V30/'Building Typology'!$K30)</f>
        <v>19.306612647371509</v>
      </c>
      <c r="X30" s="115">
        <f>IF(W30=0,0,W30+'FS - Operational'!BV30)</f>
        <v>19.703955848345466</v>
      </c>
      <c r="Y30" s="116">
        <f t="shared" si="21"/>
        <v>19.7</v>
      </c>
      <c r="Z30" s="44"/>
      <c r="AA30" s="100">
        <f>'FS - Capital Output'!AV30</f>
        <v>3360161.9818965676</v>
      </c>
      <c r="AB30" s="100">
        <f>IF('Building Typology'!$O30="Gas",(AA30*'Global Inputs'!$D$44),0)</f>
        <v>218583.35902455807</v>
      </c>
      <c r="AC30" s="115">
        <f>(AB30/'Building Typology'!$K30)</f>
        <v>0.67253115412637732</v>
      </c>
      <c r="AD30" s="115">
        <f>IF(AC30=0,0,AC30+'FS - Operational'!BW30)</f>
        <v>1.9294331163909391</v>
      </c>
      <c r="AE30" s="116">
        <f t="shared" si="22"/>
        <v>1.93</v>
      </c>
      <c r="AF30" s="44"/>
      <c r="AG30" s="100">
        <f>'FS - Capital Output'!BF30</f>
        <v>0</v>
      </c>
      <c r="AH30" s="117">
        <f>IF('Building Typology'!$O30="Gas",(AG30*'Global Inputs'!$D$43),0)</f>
        <v>0</v>
      </c>
      <c r="AI30" s="115">
        <f>(AH30/'Building Typology'!$K30)</f>
        <v>0</v>
      </c>
      <c r="AJ30" s="115">
        <f>IF(AI30=0,0,AI30+'FS - Operational'!BY30)</f>
        <v>0</v>
      </c>
      <c r="AK30" s="116">
        <f t="shared" si="23"/>
        <v>0</v>
      </c>
      <c r="AL30" s="44"/>
    </row>
    <row r="31" spans="1:38" x14ac:dyDescent="0.3">
      <c r="A31" s="46" t="str">
        <f>IF('Building Typology'!A31=0," ",'Building Typology'!A31)</f>
        <v>Assembly &amp; educational</v>
      </c>
      <c r="B31" s="44"/>
      <c r="C31" s="100">
        <f>'FS - Capital Output'!K31</f>
        <v>0</v>
      </c>
      <c r="D31" s="117">
        <f>IF('Building Typology'!$O31="Gas",(C31*'Global Inputs'!$D$42),0)</f>
        <v>0</v>
      </c>
      <c r="E31" s="115">
        <f>(D31/'Building Typology'!$K31)</f>
        <v>0</v>
      </c>
      <c r="F31" s="115">
        <f>IF(E31=0,0,E31+'FS - Operational'!BP31)</f>
        <v>0</v>
      </c>
      <c r="G31" s="116">
        <f t="shared" si="18"/>
        <v>0</v>
      </c>
      <c r="H31" s="44"/>
      <c r="I31" s="100">
        <f>'FS - Capital Output'!T31</f>
        <v>0</v>
      </c>
      <c r="J31" s="117">
        <f>IF('Building Typology'!$O31="Gas",(I31*'Global Inputs'!$D$45),0)</f>
        <v>0</v>
      </c>
      <c r="K31" s="115">
        <f>(J31/'Building Typology'!$K31)</f>
        <v>0</v>
      </c>
      <c r="L31" s="115">
        <f>IF(K31=0,0,K31+'FS - Operational'!BR31)</f>
        <v>0</v>
      </c>
      <c r="M31" s="116">
        <f t="shared" si="19"/>
        <v>0</v>
      </c>
      <c r="N31" s="44"/>
      <c r="O31" s="100">
        <f>'FS - Capital Output'!AC31</f>
        <v>0</v>
      </c>
      <c r="P31" s="117">
        <f>IF('Building Typology'!$O31="Gas",(O31*'Global Inputs'!$D$46),0)</f>
        <v>0</v>
      </c>
      <c r="Q31" s="115">
        <f>(P31/'Building Typology'!$K31)</f>
        <v>0</v>
      </c>
      <c r="R31" s="115">
        <f>IF(Q31=0,0,Q31+'FS - Operational'!BT31)</f>
        <v>0</v>
      </c>
      <c r="S31" s="116">
        <f t="shared" si="20"/>
        <v>0</v>
      </c>
      <c r="T31" s="44"/>
      <c r="U31" s="100">
        <f>'FS - Capital Output'!AL31</f>
        <v>0</v>
      </c>
      <c r="V31" s="117">
        <f>IF('Building Typology'!$O31="Gas",(U31*'Global Inputs'!$D$47),0)</f>
        <v>0</v>
      </c>
      <c r="W31" s="115">
        <f>(V31/'Building Typology'!$K31)</f>
        <v>0</v>
      </c>
      <c r="X31" s="115">
        <f>IF(W31=0,0,W31+'FS - Operational'!BV31)</f>
        <v>0</v>
      </c>
      <c r="Y31" s="116">
        <f t="shared" si="21"/>
        <v>0</v>
      </c>
      <c r="Z31" s="44"/>
      <c r="AA31" s="100">
        <f>'FS - Capital Output'!AV31</f>
        <v>0</v>
      </c>
      <c r="AB31" s="100">
        <f>IF('Building Typology'!$O31="Gas",(AA31*'Global Inputs'!$D$44),0)</f>
        <v>0</v>
      </c>
      <c r="AC31" s="115">
        <f>(AB31/'Building Typology'!$K31)</f>
        <v>0</v>
      </c>
      <c r="AD31" s="115">
        <f>IF(AC31=0,0,AC31+'FS - Operational'!BW31)</f>
        <v>0</v>
      </c>
      <c r="AE31" s="116">
        <f t="shared" si="22"/>
        <v>0</v>
      </c>
      <c r="AF31" s="44"/>
      <c r="AG31" s="100">
        <f>'FS - Capital Output'!BF31</f>
        <v>0</v>
      </c>
      <c r="AH31" s="117">
        <f>IF('Building Typology'!$O31="Gas",(AG31*'Global Inputs'!$D$43),0)</f>
        <v>0</v>
      </c>
      <c r="AI31" s="115">
        <f>(AH31/'Building Typology'!$K31)</f>
        <v>0</v>
      </c>
      <c r="AJ31" s="115">
        <f>IF(AI31=0,0,AI31+'FS - Operational'!BY31)</f>
        <v>0</v>
      </c>
      <c r="AK31" s="116">
        <f t="shared" si="23"/>
        <v>0</v>
      </c>
      <c r="AL31" s="44"/>
    </row>
    <row r="32" spans="1:38" x14ac:dyDescent="0.3">
      <c r="A32" s="44" t="str">
        <f>IF('Building Typology'!A32=0," ",'Building Typology'!A32)</f>
        <v xml:space="preserve"> </v>
      </c>
      <c r="B32" s="44"/>
      <c r="C32" s="108"/>
      <c r="D32" s="108"/>
      <c r="E32" s="113"/>
      <c r="F32" s="113"/>
      <c r="G32" s="113"/>
      <c r="H32" s="44"/>
      <c r="I32" s="108"/>
      <c r="J32" s="108"/>
      <c r="K32" s="113"/>
      <c r="L32" s="113"/>
      <c r="M32" s="113"/>
      <c r="N32" s="44"/>
      <c r="O32" s="108"/>
      <c r="P32" s="108"/>
      <c r="Q32" s="113"/>
      <c r="R32" s="113"/>
      <c r="S32" s="113"/>
      <c r="T32" s="44"/>
      <c r="U32" s="108"/>
      <c r="V32" s="108"/>
      <c r="W32" s="113"/>
      <c r="X32" s="113"/>
      <c r="Y32" s="113"/>
      <c r="Z32" s="44"/>
      <c r="AA32" s="108"/>
      <c r="AB32" s="108"/>
      <c r="AC32" s="113"/>
      <c r="AD32" s="113"/>
      <c r="AE32" s="113"/>
      <c r="AF32" s="44"/>
      <c r="AG32" s="108"/>
      <c r="AH32" s="108"/>
      <c r="AI32" s="113"/>
      <c r="AJ32" s="113"/>
      <c r="AK32" s="113"/>
      <c r="AL32" s="44"/>
    </row>
  </sheetData>
  <mergeCells count="1">
    <mergeCell ref="A1:A2"/>
  </mergeCells>
  <conditionalFormatting sqref="G5:G9">
    <cfRule type="expression" dxfId="29" priority="30">
      <formula>G5&lt;0</formula>
    </cfRule>
  </conditionalFormatting>
  <conditionalFormatting sqref="G12:G16">
    <cfRule type="expression" dxfId="28" priority="29">
      <formula>G12&lt;0</formula>
    </cfRule>
  </conditionalFormatting>
  <conditionalFormatting sqref="G19:G22">
    <cfRule type="expression" dxfId="27" priority="28">
      <formula>G19&lt;0</formula>
    </cfRule>
  </conditionalFormatting>
  <conditionalFormatting sqref="G26">
    <cfRule type="expression" dxfId="26" priority="27">
      <formula>G26&lt;0</formula>
    </cfRule>
  </conditionalFormatting>
  <conditionalFormatting sqref="G29:G31">
    <cfRule type="expression" dxfId="25" priority="26">
      <formula>G29&lt;0</formula>
    </cfRule>
  </conditionalFormatting>
  <conditionalFormatting sqref="M5:M9">
    <cfRule type="expression" dxfId="24" priority="21">
      <formula>M5&lt;0</formula>
    </cfRule>
  </conditionalFormatting>
  <conditionalFormatting sqref="M12:M16">
    <cfRule type="expression" dxfId="23" priority="22">
      <formula>M12&lt;0</formula>
    </cfRule>
  </conditionalFormatting>
  <conditionalFormatting sqref="M19:M22">
    <cfRule type="expression" dxfId="22" priority="23">
      <formula>M19&lt;0</formula>
    </cfRule>
  </conditionalFormatting>
  <conditionalFormatting sqref="M26">
    <cfRule type="expression" dxfId="21" priority="24">
      <formula>M26&lt;0</formula>
    </cfRule>
  </conditionalFormatting>
  <conditionalFormatting sqref="M29:M31">
    <cfRule type="expression" dxfId="20" priority="25">
      <formula>M29&lt;0</formula>
    </cfRule>
  </conditionalFormatting>
  <conditionalFormatting sqref="S5:S9">
    <cfRule type="expression" dxfId="19" priority="20">
      <formula>S5&lt;0</formula>
    </cfRule>
  </conditionalFormatting>
  <conditionalFormatting sqref="S12:S16">
    <cfRule type="expression" dxfId="18" priority="19">
      <formula>S12&lt;0</formula>
    </cfRule>
  </conditionalFormatting>
  <conditionalFormatting sqref="S19:S22">
    <cfRule type="expression" dxfId="17" priority="18">
      <formula>S19&lt;0</formula>
    </cfRule>
  </conditionalFormatting>
  <conditionalFormatting sqref="S26">
    <cfRule type="expression" dxfId="16" priority="17">
      <formula>S26&lt;0</formula>
    </cfRule>
  </conditionalFormatting>
  <conditionalFormatting sqref="S29:S31">
    <cfRule type="expression" dxfId="15" priority="16">
      <formula>S29&lt;0</formula>
    </cfRule>
  </conditionalFormatting>
  <conditionalFormatting sqref="Y5:Y9">
    <cfRule type="expression" dxfId="14" priority="11">
      <formula>Y5&lt;0</formula>
    </cfRule>
  </conditionalFormatting>
  <conditionalFormatting sqref="Y12:Y16">
    <cfRule type="expression" dxfId="13" priority="12">
      <formula>Y12&lt;0</formula>
    </cfRule>
  </conditionalFormatting>
  <conditionalFormatting sqref="Y19:Y22">
    <cfRule type="expression" dxfId="12" priority="13">
      <formula>Y19&lt;0</formula>
    </cfRule>
  </conditionalFormatting>
  <conditionalFormatting sqref="Y26">
    <cfRule type="expression" dxfId="11" priority="14">
      <formula>Y26&lt;0</formula>
    </cfRule>
  </conditionalFormatting>
  <conditionalFormatting sqref="Y29:Y31">
    <cfRule type="expression" dxfId="10" priority="15">
      <formula>Y29&lt;0</formula>
    </cfRule>
  </conditionalFormatting>
  <conditionalFormatting sqref="AE5:AE9">
    <cfRule type="expression" dxfId="9" priority="10">
      <formula>AE5&lt;0</formula>
    </cfRule>
  </conditionalFormatting>
  <conditionalFormatting sqref="AE12:AE16">
    <cfRule type="expression" dxfId="8" priority="9">
      <formula>AE12&lt;0</formula>
    </cfRule>
  </conditionalFormatting>
  <conditionalFormatting sqref="AE19:AE22">
    <cfRule type="expression" dxfId="7" priority="8">
      <formula>AE19&lt;0</formula>
    </cfRule>
  </conditionalFormatting>
  <conditionalFormatting sqref="AE26">
    <cfRule type="expression" dxfId="6" priority="7">
      <formula>AE26&lt;0</formula>
    </cfRule>
  </conditionalFormatting>
  <conditionalFormatting sqref="AE29:AE31">
    <cfRule type="expression" dxfId="5" priority="6">
      <formula>AE29&lt;0</formula>
    </cfRule>
  </conditionalFormatting>
  <conditionalFormatting sqref="AK5:AK9">
    <cfRule type="expression" dxfId="4" priority="1">
      <formula>AK5&lt;0</formula>
    </cfRule>
  </conditionalFormatting>
  <conditionalFormatting sqref="AK12:AK16">
    <cfRule type="expression" dxfId="3" priority="2">
      <formula>AK12&lt;0</formula>
    </cfRule>
  </conditionalFormatting>
  <conditionalFormatting sqref="AK19:AK22">
    <cfRule type="expression" dxfId="2" priority="3">
      <formula>AK19&lt;0</formula>
    </cfRule>
  </conditionalFormatting>
  <conditionalFormatting sqref="AK26">
    <cfRule type="expression" dxfId="1" priority="4">
      <formula>AK26&lt;0</formula>
    </cfRule>
  </conditionalFormatting>
  <conditionalFormatting sqref="AK29:AK31">
    <cfRule type="expression" dxfId="0" priority="5">
      <formula>AK29&lt;0</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DB11-ABBE-482F-9250-5EDED6C88FEA}">
  <sheetPr>
    <tabColor theme="7" tint="0.59999389629810485"/>
  </sheetPr>
  <dimension ref="A1:S84"/>
  <sheetViews>
    <sheetView showGridLines="0" zoomScaleNormal="100" workbookViewId="0">
      <selection activeCell="D89" sqref="D89"/>
    </sheetView>
    <sheetView workbookViewId="1">
      <selection sqref="A1:S1"/>
    </sheetView>
  </sheetViews>
  <sheetFormatPr defaultRowHeight="15.75" outlineLevelRow="1" x14ac:dyDescent="0.3"/>
  <sheetData>
    <row r="1" spans="1:19" ht="34.5" customHeight="1" x14ac:dyDescent="0.3">
      <c r="A1" s="311" t="s">
        <v>0</v>
      </c>
      <c r="B1" s="311"/>
      <c r="C1" s="311"/>
      <c r="D1" s="311"/>
      <c r="E1" s="311"/>
      <c r="F1" s="311"/>
      <c r="G1" s="311"/>
      <c r="H1" s="311"/>
      <c r="I1" s="311"/>
      <c r="J1" s="311"/>
      <c r="K1" s="311"/>
      <c r="L1" s="311"/>
      <c r="M1" s="311"/>
      <c r="N1" s="311"/>
      <c r="O1" s="311"/>
      <c r="P1" s="311"/>
      <c r="Q1" s="311"/>
      <c r="R1" s="311"/>
      <c r="S1" s="311"/>
    </row>
    <row r="2" spans="1:19" ht="22.15" customHeight="1" x14ac:dyDescent="0.3">
      <c r="A2" s="326" t="s">
        <v>381</v>
      </c>
      <c r="B2" s="326"/>
      <c r="C2" s="326"/>
      <c r="D2" s="326"/>
      <c r="E2" s="326"/>
      <c r="F2" s="326"/>
      <c r="G2" s="326"/>
      <c r="H2" s="326"/>
      <c r="I2" s="326"/>
      <c r="J2" s="326"/>
      <c r="K2" s="326"/>
      <c r="L2" s="326"/>
      <c r="M2" s="326"/>
      <c r="N2" s="326"/>
      <c r="O2" s="326"/>
      <c r="P2" s="326"/>
      <c r="Q2" s="326"/>
      <c r="R2" s="326"/>
      <c r="S2" s="326"/>
    </row>
    <row r="3" spans="1:19" s="282" customFormat="1" ht="69" customHeight="1" x14ac:dyDescent="0.3">
      <c r="A3" s="282" t="s">
        <v>489</v>
      </c>
    </row>
    <row r="4" spans="1:19" x14ac:dyDescent="0.3">
      <c r="A4" s="327" t="s">
        <v>484</v>
      </c>
      <c r="B4" s="327"/>
      <c r="C4" s="327"/>
      <c r="D4" s="327"/>
      <c r="E4" s="327"/>
      <c r="F4" s="327"/>
      <c r="G4" s="327"/>
      <c r="H4" s="327"/>
      <c r="I4" s="327"/>
      <c r="J4" s="327"/>
      <c r="K4" s="327"/>
      <c r="L4" s="327"/>
      <c r="M4" s="327"/>
      <c r="N4" s="327"/>
      <c r="O4" s="327"/>
      <c r="P4" s="327"/>
      <c r="Q4" s="327"/>
      <c r="R4" s="327"/>
      <c r="S4" s="327"/>
    </row>
    <row r="5" spans="1:19" outlineLevel="1" x14ac:dyDescent="0.3"/>
    <row r="6" spans="1:19" outlineLevel="1" x14ac:dyDescent="0.3">
      <c r="B6" s="281" t="s">
        <v>485</v>
      </c>
    </row>
    <row r="7" spans="1:19" outlineLevel="1" x14ac:dyDescent="0.3">
      <c r="B7" s="325" t="s">
        <v>487</v>
      </c>
      <c r="C7" s="325"/>
      <c r="D7" s="325"/>
      <c r="E7" s="325"/>
      <c r="F7" s="325"/>
      <c r="G7" s="325"/>
      <c r="H7" s="325"/>
      <c r="I7" s="325"/>
      <c r="J7" s="325"/>
      <c r="K7" s="325"/>
      <c r="L7" s="325"/>
      <c r="M7" s="325"/>
      <c r="N7" s="325"/>
      <c r="O7" s="325"/>
      <c r="P7" s="325"/>
      <c r="Q7" s="325"/>
      <c r="R7" s="325"/>
    </row>
    <row r="8" spans="1:19" outlineLevel="1" x14ac:dyDescent="0.3"/>
    <row r="9" spans="1:19" outlineLevel="1" x14ac:dyDescent="0.3"/>
    <row r="10" spans="1:19" outlineLevel="1" x14ac:dyDescent="0.3"/>
    <row r="11" spans="1:19" outlineLevel="1" x14ac:dyDescent="0.3"/>
    <row r="12" spans="1:19" outlineLevel="1" x14ac:dyDescent="0.3"/>
    <row r="13" spans="1:19" outlineLevel="1" x14ac:dyDescent="0.3"/>
    <row r="14" spans="1:19" outlineLevel="1" x14ac:dyDescent="0.3"/>
    <row r="15" spans="1:19" outlineLevel="1" x14ac:dyDescent="0.3"/>
    <row r="16" spans="1:19" outlineLevel="1" x14ac:dyDescent="0.3"/>
    <row r="17" spans="16:16" outlineLevel="1" x14ac:dyDescent="0.3"/>
    <row r="18" spans="16:16" outlineLevel="1" x14ac:dyDescent="0.3"/>
    <row r="19" spans="16:16" outlineLevel="1" x14ac:dyDescent="0.3"/>
    <row r="20" spans="16:16" outlineLevel="1" x14ac:dyDescent="0.3"/>
    <row r="21" spans="16:16" outlineLevel="1" x14ac:dyDescent="0.3"/>
    <row r="22" spans="16:16" outlineLevel="1" x14ac:dyDescent="0.3"/>
    <row r="23" spans="16:16" outlineLevel="1" x14ac:dyDescent="0.3"/>
    <row r="24" spans="16:16" outlineLevel="1" x14ac:dyDescent="0.3"/>
    <row r="25" spans="16:16" outlineLevel="1" x14ac:dyDescent="0.3"/>
    <row r="26" spans="16:16" outlineLevel="1" x14ac:dyDescent="0.3"/>
    <row r="27" spans="16:16" outlineLevel="1" x14ac:dyDescent="0.3">
      <c r="P27">
        <f>'Building Typology'!H26*(1+1/12)</f>
        <v>97.5</v>
      </c>
    </row>
    <row r="28" spans="16:16" outlineLevel="1" x14ac:dyDescent="0.3"/>
    <row r="29" spans="16:16" outlineLevel="1" x14ac:dyDescent="0.3"/>
    <row r="30" spans="16:16" outlineLevel="1" x14ac:dyDescent="0.3"/>
    <row r="31" spans="16:16" outlineLevel="1" x14ac:dyDescent="0.3"/>
    <row r="32" spans="16:16" outlineLevel="1" x14ac:dyDescent="0.3"/>
    <row r="33" spans="1:19" outlineLevel="1" x14ac:dyDescent="0.3"/>
    <row r="34" spans="1:19" outlineLevel="1" x14ac:dyDescent="0.3"/>
    <row r="35" spans="1:19" outlineLevel="1" x14ac:dyDescent="0.3"/>
    <row r="36" spans="1:19" outlineLevel="1" x14ac:dyDescent="0.3"/>
    <row r="37" spans="1:19" outlineLevel="1" x14ac:dyDescent="0.3"/>
    <row r="38" spans="1:19" outlineLevel="1" x14ac:dyDescent="0.3"/>
    <row r="39" spans="1:19" outlineLevel="1" x14ac:dyDescent="0.3"/>
    <row r="40" spans="1:19" outlineLevel="1" x14ac:dyDescent="0.3"/>
    <row r="41" spans="1:19" outlineLevel="1" x14ac:dyDescent="0.3"/>
    <row r="42" spans="1:19" outlineLevel="1" x14ac:dyDescent="0.3"/>
    <row r="43" spans="1:19" outlineLevel="1" x14ac:dyDescent="0.3"/>
    <row r="44" spans="1:19" ht="18.75" customHeight="1" x14ac:dyDescent="0.3">
      <c r="A44" s="328" t="s">
        <v>380</v>
      </c>
      <c r="B44" s="328"/>
      <c r="C44" s="328"/>
      <c r="D44" s="328"/>
      <c r="E44" s="328"/>
      <c r="F44" s="328"/>
      <c r="G44" s="328"/>
      <c r="H44" s="328"/>
      <c r="I44" s="328"/>
      <c r="J44" s="328"/>
      <c r="K44" s="328"/>
      <c r="L44" s="328"/>
      <c r="M44" s="328"/>
      <c r="N44" s="328"/>
      <c r="O44" s="328"/>
      <c r="P44" s="328"/>
      <c r="Q44" s="328"/>
      <c r="R44" s="328"/>
      <c r="S44" s="328"/>
    </row>
    <row r="45" spans="1:19" outlineLevel="1" x14ac:dyDescent="0.3"/>
    <row r="46" spans="1:19" outlineLevel="1" x14ac:dyDescent="0.3">
      <c r="B46" s="281" t="s">
        <v>485</v>
      </c>
    </row>
    <row r="47" spans="1:19" outlineLevel="1" x14ac:dyDescent="0.3">
      <c r="B47" s="325" t="s">
        <v>488</v>
      </c>
      <c r="C47" s="325"/>
      <c r="D47" s="325"/>
      <c r="E47" s="325"/>
      <c r="F47" s="325"/>
      <c r="G47" s="325"/>
      <c r="H47" s="325"/>
      <c r="I47" s="325"/>
      <c r="J47" s="325"/>
      <c r="K47" s="325"/>
      <c r="L47" s="325"/>
      <c r="M47" s="325"/>
      <c r="N47" s="325"/>
      <c r="O47" s="325"/>
      <c r="P47" s="325"/>
      <c r="Q47" s="325"/>
      <c r="R47" s="325"/>
    </row>
    <row r="48" spans="1:19" outlineLevel="1" x14ac:dyDescent="0.3"/>
    <row r="49" outlineLevel="1" x14ac:dyDescent="0.3"/>
    <row r="50" outlineLevel="1" x14ac:dyDescent="0.3"/>
    <row r="51" outlineLevel="1" x14ac:dyDescent="0.3"/>
    <row r="52" outlineLevel="1" x14ac:dyDescent="0.3"/>
    <row r="53" outlineLevel="1" x14ac:dyDescent="0.3"/>
    <row r="54" outlineLevel="1" x14ac:dyDescent="0.3"/>
    <row r="55" outlineLevel="1" x14ac:dyDescent="0.3"/>
    <row r="56" outlineLevel="1" x14ac:dyDescent="0.3"/>
    <row r="57" outlineLevel="1" x14ac:dyDescent="0.3"/>
    <row r="58" outlineLevel="1" x14ac:dyDescent="0.3"/>
    <row r="59" outlineLevel="1" x14ac:dyDescent="0.3"/>
    <row r="60" outlineLevel="1" x14ac:dyDescent="0.3"/>
    <row r="61" outlineLevel="1" x14ac:dyDescent="0.3"/>
    <row r="62" outlineLevel="1" x14ac:dyDescent="0.3"/>
    <row r="63" outlineLevel="1" x14ac:dyDescent="0.3"/>
    <row r="64"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row r="73" outlineLevel="1" x14ac:dyDescent="0.3"/>
    <row r="74" outlineLevel="1" x14ac:dyDescent="0.3"/>
    <row r="75" outlineLevel="1" x14ac:dyDescent="0.3"/>
    <row r="76" outlineLevel="1" x14ac:dyDescent="0.3"/>
    <row r="77" outlineLevel="1" x14ac:dyDescent="0.3"/>
    <row r="78" outlineLevel="1" x14ac:dyDescent="0.3"/>
    <row r="79" outlineLevel="1" x14ac:dyDescent="0.3"/>
    <row r="80" outlineLevel="1" x14ac:dyDescent="0.3"/>
    <row r="81" outlineLevel="1" x14ac:dyDescent="0.3"/>
    <row r="82" outlineLevel="1" x14ac:dyDescent="0.3"/>
    <row r="83" outlineLevel="1" x14ac:dyDescent="0.3"/>
    <row r="84" outlineLevel="1" x14ac:dyDescent="0.3"/>
  </sheetData>
  <mergeCells count="6">
    <mergeCell ref="B47:R47"/>
    <mergeCell ref="A1:S1"/>
    <mergeCell ref="A2:S2"/>
    <mergeCell ref="A4:S4"/>
    <mergeCell ref="A44:S44"/>
    <mergeCell ref="B7:R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7839-1405-41F4-BD45-BA5C8EEE60E5}">
  <sheetPr>
    <tabColor theme="5" tint="0.59999389629810485"/>
  </sheetPr>
  <dimension ref="A1:DB38"/>
  <sheetViews>
    <sheetView showGridLines="0" zoomScale="70" zoomScaleNormal="70" workbookViewId="0">
      <pane xSplit="2" ySplit="3" topLeftCell="C4" activePane="bottomRight" state="frozen"/>
      <selection pane="topRight" activeCell="C1" sqref="C1"/>
      <selection pane="bottomLeft" activeCell="A4" sqref="A4"/>
      <selection pane="bottomRight" sqref="A1:A2"/>
    </sheetView>
    <sheetView workbookViewId="1">
      <selection sqref="A1:A2"/>
    </sheetView>
  </sheetViews>
  <sheetFormatPr defaultColWidth="6.77734375" defaultRowHeight="15.75" outlineLevelCol="1" x14ac:dyDescent="0.3"/>
  <cols>
    <col min="1" max="1" width="33.21875" style="15" bestFit="1" customWidth="1"/>
    <col min="2" max="2" width="2.44140625" style="15" customWidth="1"/>
    <col min="3" max="4" width="9.33203125" style="10" customWidth="1" outlineLevel="1"/>
    <col min="5" max="5" width="9.44140625" style="10" customWidth="1" outlineLevel="1"/>
    <col min="6" max="7" width="9.33203125" style="11" customWidth="1" outlineLevel="1"/>
    <col min="8" max="8" width="9.109375" style="11" customWidth="1" outlineLevel="1"/>
    <col min="9" max="11" width="8.77734375" style="10" customWidth="1" outlineLevel="1"/>
    <col min="12" max="13" width="9" style="10" customWidth="1" outlineLevel="1"/>
    <col min="14" max="14" width="8.77734375" style="10" customWidth="1" outlineLevel="1"/>
    <col min="15" max="15" width="2.44140625" style="15" customWidth="1"/>
    <col min="16" max="16" width="9.33203125" style="15" customWidth="1" outlineLevel="1"/>
    <col min="17" max="17" width="9.33203125" style="16" customWidth="1" outlineLevel="1"/>
    <col min="18" max="18" width="9.44140625" style="16" customWidth="1" outlineLevel="1"/>
    <col min="19" max="19" width="0.77734375" style="15" customWidth="1" outlineLevel="1"/>
    <col min="20" max="20" width="9.33203125" style="223" customWidth="1" outlineLevel="1"/>
    <col min="21" max="21" width="9.109375" style="15" customWidth="1" outlineLevel="1"/>
    <col min="22" max="22" width="9.44140625" style="15" customWidth="1" outlineLevel="1"/>
    <col min="23" max="23" width="0.77734375" style="15" customWidth="1" outlineLevel="1"/>
    <col min="24" max="24" width="9.33203125" style="15" customWidth="1" outlineLevel="1"/>
    <col min="25" max="25" width="9.77734375" style="15" customWidth="1" outlineLevel="1"/>
    <col min="26" max="26" width="9.44140625" style="15" customWidth="1" outlineLevel="1"/>
    <col min="27" max="27" width="0.77734375" style="15" customWidth="1" outlineLevel="1"/>
    <col min="28" max="28" width="10.88671875" style="15" customWidth="1" outlineLevel="1"/>
    <col min="29" max="29" width="2.44140625" style="15" customWidth="1"/>
    <col min="30" max="30" width="9.33203125" style="223" customWidth="1" outlineLevel="1"/>
    <col min="31" max="31" width="9.5546875" style="15" customWidth="1" outlineLevel="1"/>
    <col min="32" max="39" width="13.5546875" style="15" customWidth="1" outlineLevel="1"/>
    <col min="40" max="40" width="2.44140625" style="15" customWidth="1" outlineLevel="1"/>
    <col min="41" max="41" width="9.33203125" style="15" customWidth="1" outlineLevel="1"/>
    <col min="42" max="42" width="9.5546875" style="15" customWidth="1" outlineLevel="1"/>
    <col min="43" max="50" width="13.5546875" style="15" customWidth="1" outlineLevel="1"/>
    <col min="51" max="51" width="2.44140625" style="15" customWidth="1" outlineLevel="1"/>
    <col min="52" max="52" width="9.33203125" style="15" customWidth="1" outlineLevel="1"/>
    <col min="53" max="53" width="9.5546875" style="15" customWidth="1" outlineLevel="1"/>
    <col min="54" max="61" width="13.5546875" style="15" customWidth="1" outlineLevel="1"/>
    <col min="62" max="62" width="2.44140625" style="15" customWidth="1"/>
    <col min="63" max="63" width="10.77734375" style="15" customWidth="1" outlineLevel="1"/>
    <col min="64" max="64" width="9.5546875" style="15" customWidth="1" outlineLevel="1"/>
    <col min="65" max="65" width="13.5546875" style="15" customWidth="1" outlineLevel="1"/>
    <col min="66" max="66" width="9.33203125" style="15" bestFit="1" customWidth="1" outlineLevel="1"/>
    <col min="67" max="67" width="9.109375" style="15" bestFit="1" customWidth="1" outlineLevel="1"/>
    <col min="68" max="68" width="9.44140625" style="15" bestFit="1" customWidth="1" outlineLevel="1"/>
    <col min="69" max="69" width="8.77734375" style="15" bestFit="1" customWidth="1" outlineLevel="1"/>
    <col min="70" max="70" width="9.109375" style="15" bestFit="1" customWidth="1" outlineLevel="1"/>
    <col min="71" max="71" width="8.77734375" style="15" bestFit="1" customWidth="1" outlineLevel="1"/>
    <col min="72" max="72" width="9.109375" style="15" bestFit="1" customWidth="1" outlineLevel="1"/>
    <col min="73" max="73" width="0.77734375" style="15" customWidth="1" outlineLevel="1"/>
    <col min="74" max="74" width="9.33203125" style="15" bestFit="1" customWidth="1" outlineLevel="1"/>
    <col min="75" max="75" width="9.5546875" style="15" customWidth="1" outlineLevel="1"/>
    <col min="76" max="76" width="13.5546875" style="15" customWidth="1" outlineLevel="1"/>
    <col min="77" max="78" width="9.109375" style="15" bestFit="1" customWidth="1" outlineLevel="1"/>
    <col min="79" max="79" width="9.44140625" style="15" bestFit="1" customWidth="1" outlineLevel="1"/>
    <col min="80" max="80" width="8.77734375" style="15" bestFit="1" customWidth="1" outlineLevel="1"/>
    <col min="81" max="81" width="9.109375" style="15" bestFit="1" customWidth="1" outlineLevel="1"/>
    <col min="82" max="82" width="8.77734375" style="15" bestFit="1" customWidth="1" outlineLevel="1"/>
    <col min="83" max="83" width="9.109375" style="15" bestFit="1" customWidth="1" outlineLevel="1"/>
    <col min="84" max="84" width="0.77734375" style="15" customWidth="1" outlineLevel="1"/>
    <col min="85" max="85" width="9.33203125" style="15" bestFit="1" customWidth="1" outlineLevel="1"/>
    <col min="86" max="86" width="9.5546875" style="15" bestFit="1" customWidth="1" outlineLevel="1"/>
    <col min="87" max="87" width="11.77734375" style="15" bestFit="1" customWidth="1" outlineLevel="1"/>
    <col min="88" max="88" width="9.77734375" style="15" customWidth="1" outlineLevel="1"/>
    <col min="89" max="89" width="9.77734375" style="15" bestFit="1" customWidth="1" outlineLevel="1"/>
    <col min="90" max="90" width="9.88671875" style="15" bestFit="1" customWidth="1" outlineLevel="1"/>
    <col min="91" max="91" width="8.77734375" style="15" bestFit="1" customWidth="1" outlineLevel="1"/>
    <col min="92" max="92" width="9.109375" style="15" bestFit="1" customWidth="1" outlineLevel="1"/>
    <col min="93" max="93" width="8.77734375" style="15" bestFit="1" customWidth="1" outlineLevel="1"/>
    <col min="94" max="94" width="9.109375" style="15" customWidth="1" outlineLevel="1"/>
    <col min="95" max="95" width="0.77734375" style="15" customWidth="1" outlineLevel="1"/>
    <col min="96" max="96" width="12.44140625" style="15" bestFit="1" customWidth="1" outlineLevel="1"/>
    <col min="97" max="97" width="11.33203125" style="15" bestFit="1" customWidth="1" outlineLevel="1"/>
    <col min="98" max="98" width="9.6640625" style="15" bestFit="1" customWidth="1" outlineLevel="1"/>
    <col min="99" max="100" width="9.109375" style="15" bestFit="1" customWidth="1" outlineLevel="1"/>
    <col min="101" max="101" width="11.109375" style="15" bestFit="1" customWidth="1" outlineLevel="1"/>
    <col min="102" max="102" width="9.6640625" style="15" bestFit="1" customWidth="1" outlineLevel="1"/>
    <col min="103" max="103" width="0.77734375" style="15" customWidth="1" outlineLevel="1"/>
    <col min="104" max="104" width="9.109375" style="15" bestFit="1" customWidth="1" outlineLevel="1"/>
    <col min="105" max="105" width="9.5546875" style="15" bestFit="1" customWidth="1" outlineLevel="1"/>
    <col min="106" max="106" width="2.44140625" style="15" customWidth="1"/>
    <col min="107" max="16384" width="6.77734375" style="15"/>
  </cols>
  <sheetData>
    <row r="1" spans="1:106" ht="43.15" customHeight="1" x14ac:dyDescent="0.3">
      <c r="A1" s="329" t="s">
        <v>39</v>
      </c>
      <c r="B1" s="17"/>
      <c r="C1" s="61" t="s">
        <v>310</v>
      </c>
      <c r="D1" s="61"/>
      <c r="E1" s="61"/>
      <c r="F1" s="61"/>
      <c r="G1" s="61"/>
      <c r="H1" s="61"/>
      <c r="I1" s="61"/>
      <c r="J1" s="61"/>
      <c r="K1" s="61"/>
      <c r="L1" s="61"/>
      <c r="M1" s="61"/>
      <c r="N1" s="61"/>
      <c r="O1" s="18"/>
      <c r="P1" s="61" t="s">
        <v>298</v>
      </c>
      <c r="Q1" s="61"/>
      <c r="R1" s="61"/>
      <c r="S1" s="61"/>
      <c r="T1" s="61"/>
      <c r="U1" s="61"/>
      <c r="V1" s="61"/>
      <c r="W1" s="61"/>
      <c r="X1" s="61"/>
      <c r="Y1" s="61"/>
      <c r="Z1" s="61"/>
      <c r="AA1" s="61"/>
      <c r="AB1" s="61"/>
      <c r="AC1" s="18"/>
      <c r="AD1" s="61" t="s">
        <v>276</v>
      </c>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18"/>
      <c r="BK1" s="61" t="s">
        <v>412</v>
      </c>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18"/>
    </row>
    <row r="2" spans="1:106" s="28" customFormat="1" ht="71.25" customHeight="1" x14ac:dyDescent="0.3">
      <c r="A2" s="329"/>
      <c r="B2" s="17"/>
      <c r="C2" s="204" t="s">
        <v>44</v>
      </c>
      <c r="D2" s="204" t="s">
        <v>45</v>
      </c>
      <c r="E2" s="204" t="s">
        <v>366</v>
      </c>
      <c r="F2" s="204" t="s">
        <v>46</v>
      </c>
      <c r="G2" s="204" t="s">
        <v>378</v>
      </c>
      <c r="H2" s="204" t="s">
        <v>47</v>
      </c>
      <c r="I2" s="204" t="s">
        <v>48</v>
      </c>
      <c r="J2" s="204" t="s">
        <v>49</v>
      </c>
      <c r="K2" s="204" t="s">
        <v>293</v>
      </c>
      <c r="L2" s="204" t="s">
        <v>50</v>
      </c>
      <c r="M2" s="204" t="s">
        <v>51</v>
      </c>
      <c r="N2" s="204" t="s">
        <v>52</v>
      </c>
      <c r="O2" s="213"/>
      <c r="P2" s="206" t="s">
        <v>264</v>
      </c>
      <c r="Q2" s="204" t="s">
        <v>265</v>
      </c>
      <c r="R2" s="204" t="s">
        <v>266</v>
      </c>
      <c r="S2" s="213"/>
      <c r="T2" s="224" t="s">
        <v>267</v>
      </c>
      <c r="U2" s="204" t="s">
        <v>268</v>
      </c>
      <c r="V2" s="204" t="s">
        <v>269</v>
      </c>
      <c r="W2" s="213"/>
      <c r="X2" s="204" t="s">
        <v>270</v>
      </c>
      <c r="Y2" s="204" t="s">
        <v>271</v>
      </c>
      <c r="Z2" s="204" t="s">
        <v>272</v>
      </c>
      <c r="AA2" s="213"/>
      <c r="AB2" s="204" t="s">
        <v>273</v>
      </c>
      <c r="AC2" s="213"/>
      <c r="AD2" s="220" t="s">
        <v>264</v>
      </c>
      <c r="AE2" s="210" t="s">
        <v>277</v>
      </c>
      <c r="AF2" s="210" t="s">
        <v>277</v>
      </c>
      <c r="AG2" s="210" t="s">
        <v>265</v>
      </c>
      <c r="AH2" s="210" t="s">
        <v>278</v>
      </c>
      <c r="AI2" s="210" t="s">
        <v>266</v>
      </c>
      <c r="AJ2" s="210" t="s">
        <v>279</v>
      </c>
      <c r="AK2" s="210" t="s">
        <v>280</v>
      </c>
      <c r="AL2" s="210" t="s">
        <v>281</v>
      </c>
      <c r="AM2" s="210" t="s">
        <v>282</v>
      </c>
      <c r="AN2" s="213"/>
      <c r="AO2" s="210" t="s">
        <v>267</v>
      </c>
      <c r="AP2" s="210" t="s">
        <v>283</v>
      </c>
      <c r="AQ2" s="210" t="s">
        <v>283</v>
      </c>
      <c r="AR2" s="210" t="s">
        <v>268</v>
      </c>
      <c r="AS2" s="210" t="s">
        <v>374</v>
      </c>
      <c r="AT2" s="210" t="s">
        <v>269</v>
      </c>
      <c r="AU2" s="210" t="s">
        <v>302</v>
      </c>
      <c r="AV2" s="210" t="s">
        <v>303</v>
      </c>
      <c r="AW2" s="210" t="s">
        <v>284</v>
      </c>
      <c r="AX2" s="210" t="s">
        <v>304</v>
      </c>
      <c r="AY2" s="213"/>
      <c r="AZ2" s="210" t="s">
        <v>270</v>
      </c>
      <c r="BA2" s="210" t="s">
        <v>285</v>
      </c>
      <c r="BB2" s="210" t="s">
        <v>285</v>
      </c>
      <c r="BC2" s="210" t="s">
        <v>271</v>
      </c>
      <c r="BD2" s="210" t="s">
        <v>375</v>
      </c>
      <c r="BE2" s="210" t="s">
        <v>272</v>
      </c>
      <c r="BF2" s="210" t="s">
        <v>286</v>
      </c>
      <c r="BG2" s="210" t="s">
        <v>307</v>
      </c>
      <c r="BH2" s="210" t="s">
        <v>287</v>
      </c>
      <c r="BI2" s="210" t="s">
        <v>308</v>
      </c>
      <c r="BJ2" s="213"/>
      <c r="BK2" s="210" t="s">
        <v>264</v>
      </c>
      <c r="BL2" s="210" t="s">
        <v>277</v>
      </c>
      <c r="BM2" s="210" t="s">
        <v>277</v>
      </c>
      <c r="BN2" s="210" t="s">
        <v>265</v>
      </c>
      <c r="BO2" s="210" t="s">
        <v>299</v>
      </c>
      <c r="BP2" s="210" t="s">
        <v>266</v>
      </c>
      <c r="BQ2" s="210" t="s">
        <v>300</v>
      </c>
      <c r="BR2" s="210" t="s">
        <v>280</v>
      </c>
      <c r="BS2" s="210" t="s">
        <v>281</v>
      </c>
      <c r="BT2" s="210" t="s">
        <v>301</v>
      </c>
      <c r="BU2" s="213"/>
      <c r="BV2" s="210" t="s">
        <v>267</v>
      </c>
      <c r="BW2" s="210" t="s">
        <v>283</v>
      </c>
      <c r="BX2" s="210" t="s">
        <v>283</v>
      </c>
      <c r="BY2" s="210" t="s">
        <v>268</v>
      </c>
      <c r="BZ2" s="210" t="s">
        <v>299</v>
      </c>
      <c r="CA2" s="210" t="s">
        <v>269</v>
      </c>
      <c r="CB2" s="210" t="s">
        <v>302</v>
      </c>
      <c r="CC2" s="210" t="s">
        <v>303</v>
      </c>
      <c r="CD2" s="210" t="s">
        <v>284</v>
      </c>
      <c r="CE2" s="210" t="s">
        <v>304</v>
      </c>
      <c r="CF2" s="213"/>
      <c r="CG2" s="210" t="s">
        <v>270</v>
      </c>
      <c r="CH2" s="210" t="s">
        <v>285</v>
      </c>
      <c r="CI2" s="210" t="s">
        <v>285</v>
      </c>
      <c r="CJ2" s="210" t="s">
        <v>271</v>
      </c>
      <c r="CK2" s="210" t="s">
        <v>306</v>
      </c>
      <c r="CL2" s="210" t="s">
        <v>272</v>
      </c>
      <c r="CM2" s="210" t="s">
        <v>286</v>
      </c>
      <c r="CN2" s="210" t="s">
        <v>307</v>
      </c>
      <c r="CO2" s="210" t="s">
        <v>287</v>
      </c>
      <c r="CP2" s="208" t="s">
        <v>308</v>
      </c>
      <c r="CQ2" s="213"/>
      <c r="CR2" s="211" t="s">
        <v>288</v>
      </c>
      <c r="CS2" s="210" t="s">
        <v>289</v>
      </c>
      <c r="CT2" s="210" t="s">
        <v>290</v>
      </c>
      <c r="CU2" s="210" t="s">
        <v>364</v>
      </c>
      <c r="CV2" s="210" t="s">
        <v>364</v>
      </c>
      <c r="CW2" s="210" t="s">
        <v>365</v>
      </c>
      <c r="CX2" s="210" t="s">
        <v>291</v>
      </c>
      <c r="CY2" s="213"/>
      <c r="CZ2" s="210" t="s">
        <v>376</v>
      </c>
      <c r="DA2" s="210" t="s">
        <v>377</v>
      </c>
      <c r="DB2" s="17"/>
    </row>
    <row r="3" spans="1:106" s="8" customFormat="1" ht="18" x14ac:dyDescent="0.3">
      <c r="A3" s="20" t="s">
        <v>15</v>
      </c>
      <c r="B3" s="20"/>
      <c r="C3" s="205" t="s">
        <v>57</v>
      </c>
      <c r="D3" s="205" t="s">
        <v>56</v>
      </c>
      <c r="E3" s="205" t="s">
        <v>58</v>
      </c>
      <c r="F3" s="205" t="s">
        <v>53</v>
      </c>
      <c r="G3" s="205" t="s">
        <v>379</v>
      </c>
      <c r="H3" s="205" t="s">
        <v>57</v>
      </c>
      <c r="I3" s="205" t="s">
        <v>54</v>
      </c>
      <c r="J3" s="205" t="s">
        <v>54</v>
      </c>
      <c r="K3" s="205" t="s">
        <v>54</v>
      </c>
      <c r="L3" s="205" t="s">
        <v>54</v>
      </c>
      <c r="M3" s="205" t="s">
        <v>54</v>
      </c>
      <c r="N3" s="205" t="s">
        <v>54</v>
      </c>
      <c r="O3" s="213"/>
      <c r="P3" s="207" t="s">
        <v>274</v>
      </c>
      <c r="Q3" s="205" t="s">
        <v>61</v>
      </c>
      <c r="R3" s="205" t="s">
        <v>275</v>
      </c>
      <c r="S3" s="213"/>
      <c r="T3" s="225" t="s">
        <v>274</v>
      </c>
      <c r="U3" s="205" t="s">
        <v>61</v>
      </c>
      <c r="V3" s="205" t="s">
        <v>275</v>
      </c>
      <c r="W3" s="213"/>
      <c r="X3" s="205" t="s">
        <v>274</v>
      </c>
      <c r="Y3" s="205" t="s">
        <v>61</v>
      </c>
      <c r="Z3" s="205" t="s">
        <v>275</v>
      </c>
      <c r="AA3" s="213"/>
      <c r="AB3" s="205" t="s">
        <v>61</v>
      </c>
      <c r="AC3" s="213"/>
      <c r="AD3" s="221" t="s">
        <v>274</v>
      </c>
      <c r="AE3" s="207" t="s">
        <v>305</v>
      </c>
      <c r="AF3" s="207" t="s">
        <v>184</v>
      </c>
      <c r="AG3" s="207" t="s">
        <v>61</v>
      </c>
      <c r="AH3" s="207" t="s">
        <v>61</v>
      </c>
      <c r="AI3" s="207" t="s">
        <v>275</v>
      </c>
      <c r="AJ3" s="207" t="s">
        <v>275</v>
      </c>
      <c r="AK3" s="207" t="s">
        <v>53</v>
      </c>
      <c r="AL3" s="207" t="s">
        <v>275</v>
      </c>
      <c r="AM3" s="207" t="s">
        <v>53</v>
      </c>
      <c r="AN3" s="213"/>
      <c r="AO3" s="207" t="s">
        <v>274</v>
      </c>
      <c r="AP3" s="207" t="s">
        <v>305</v>
      </c>
      <c r="AQ3" s="207" t="s">
        <v>184</v>
      </c>
      <c r="AR3" s="207" t="s">
        <v>61</v>
      </c>
      <c r="AS3" s="207" t="s">
        <v>61</v>
      </c>
      <c r="AT3" s="207" t="s">
        <v>275</v>
      </c>
      <c r="AU3" s="207" t="s">
        <v>275</v>
      </c>
      <c r="AV3" s="207" t="s">
        <v>53</v>
      </c>
      <c r="AW3" s="207" t="s">
        <v>275</v>
      </c>
      <c r="AX3" s="207" t="s">
        <v>53</v>
      </c>
      <c r="AY3" s="213"/>
      <c r="AZ3" s="207" t="s">
        <v>274</v>
      </c>
      <c r="BA3" s="207" t="s">
        <v>305</v>
      </c>
      <c r="BB3" s="207" t="s">
        <v>184</v>
      </c>
      <c r="BC3" s="207" t="s">
        <v>61</v>
      </c>
      <c r="BD3" s="207" t="s">
        <v>61</v>
      </c>
      <c r="BE3" s="207" t="s">
        <v>275</v>
      </c>
      <c r="BF3" s="207" t="s">
        <v>275</v>
      </c>
      <c r="BG3" s="207" t="s">
        <v>53</v>
      </c>
      <c r="BH3" s="207" t="s">
        <v>275</v>
      </c>
      <c r="BI3" s="207" t="s">
        <v>53</v>
      </c>
      <c r="BJ3" s="213"/>
      <c r="BK3" s="207" t="s">
        <v>274</v>
      </c>
      <c r="BL3" s="207" t="s">
        <v>305</v>
      </c>
      <c r="BM3" s="207" t="s">
        <v>184</v>
      </c>
      <c r="BN3" s="207" t="s">
        <v>61</v>
      </c>
      <c r="BO3" s="207" t="s">
        <v>61</v>
      </c>
      <c r="BP3" s="207" t="s">
        <v>275</v>
      </c>
      <c r="BQ3" s="207" t="s">
        <v>275</v>
      </c>
      <c r="BR3" s="207" t="s">
        <v>53</v>
      </c>
      <c r="BS3" s="207" t="s">
        <v>275</v>
      </c>
      <c r="BT3" s="207" t="s">
        <v>53</v>
      </c>
      <c r="BU3" s="213"/>
      <c r="BV3" s="207" t="s">
        <v>274</v>
      </c>
      <c r="BW3" s="207" t="s">
        <v>305</v>
      </c>
      <c r="BX3" s="207" t="s">
        <v>184</v>
      </c>
      <c r="BY3" s="207" t="s">
        <v>61</v>
      </c>
      <c r="BZ3" s="207" t="s">
        <v>61</v>
      </c>
      <c r="CA3" s="207" t="s">
        <v>275</v>
      </c>
      <c r="CB3" s="207" t="s">
        <v>275</v>
      </c>
      <c r="CC3" s="207" t="s">
        <v>53</v>
      </c>
      <c r="CD3" s="207" t="s">
        <v>275</v>
      </c>
      <c r="CE3" s="207" t="s">
        <v>53</v>
      </c>
      <c r="CF3" s="213"/>
      <c r="CG3" s="207" t="s">
        <v>274</v>
      </c>
      <c r="CH3" s="207" t="s">
        <v>305</v>
      </c>
      <c r="CI3" s="207" t="s">
        <v>184</v>
      </c>
      <c r="CJ3" s="207" t="s">
        <v>61</v>
      </c>
      <c r="CK3" s="207" t="s">
        <v>61</v>
      </c>
      <c r="CL3" s="207" t="s">
        <v>275</v>
      </c>
      <c r="CM3" s="207" t="s">
        <v>275</v>
      </c>
      <c r="CN3" s="207" t="s">
        <v>53</v>
      </c>
      <c r="CO3" s="207" t="s">
        <v>275</v>
      </c>
      <c r="CP3" s="209" t="s">
        <v>53</v>
      </c>
      <c r="CQ3" s="213"/>
      <c r="CR3" s="205" t="s">
        <v>53</v>
      </c>
      <c r="CS3" s="207" t="s">
        <v>184</v>
      </c>
      <c r="CT3" s="207" t="s">
        <v>347</v>
      </c>
      <c r="CU3" s="207" t="s">
        <v>275</v>
      </c>
      <c r="CV3" s="207" t="s">
        <v>53</v>
      </c>
      <c r="CW3" s="207" t="s">
        <v>275</v>
      </c>
      <c r="CX3" s="207" t="s">
        <v>53</v>
      </c>
      <c r="CY3" s="213"/>
      <c r="CZ3" s="207" t="s">
        <v>61</v>
      </c>
      <c r="DA3" s="207" t="s">
        <v>61</v>
      </c>
      <c r="DB3" s="21"/>
    </row>
    <row r="4" spans="1:106" ht="16.5" x14ac:dyDescent="0.3">
      <c r="A4" s="98" t="str">
        <f>IF('Building Typology'!A4=0," ",'Building Typology'!A4)</f>
        <v>OFFICE</v>
      </c>
      <c r="B4" s="129"/>
      <c r="C4" s="130"/>
      <c r="D4" s="130"/>
      <c r="E4" s="130"/>
      <c r="F4" s="130"/>
      <c r="G4" s="130"/>
      <c r="H4" s="130"/>
      <c r="I4" s="130"/>
      <c r="J4" s="130"/>
      <c r="K4" s="130"/>
      <c r="L4" s="130"/>
      <c r="M4" s="130"/>
      <c r="N4" s="130"/>
      <c r="O4" s="129"/>
      <c r="P4" s="130"/>
      <c r="Q4" s="131"/>
      <c r="R4" s="131"/>
      <c r="S4" s="135"/>
      <c r="T4" s="218"/>
      <c r="U4" s="131"/>
      <c r="V4" s="131"/>
      <c r="W4" s="129"/>
      <c r="X4" s="130"/>
      <c r="Y4" s="131"/>
      <c r="Z4" s="131"/>
      <c r="AA4" s="129"/>
      <c r="AB4" s="131"/>
      <c r="AC4" s="129"/>
      <c r="AD4" s="132"/>
      <c r="AE4" s="132"/>
      <c r="AF4" s="132"/>
      <c r="AG4" s="132"/>
      <c r="AH4" s="132"/>
      <c r="AI4" s="132"/>
      <c r="AJ4" s="132"/>
      <c r="AK4" s="132"/>
      <c r="AL4" s="132"/>
      <c r="AM4" s="132"/>
      <c r="AN4" s="129"/>
      <c r="AO4" s="132"/>
      <c r="AP4" s="132"/>
      <c r="AQ4" s="132"/>
      <c r="AR4" s="132"/>
      <c r="AS4" s="132"/>
      <c r="AT4" s="132"/>
      <c r="AU4" s="132"/>
      <c r="AV4" s="132"/>
      <c r="AW4" s="132"/>
      <c r="AX4" s="132"/>
      <c r="AY4" s="129"/>
      <c r="AZ4" s="132"/>
      <c r="BA4" s="132"/>
      <c r="BB4" s="132"/>
      <c r="BC4" s="132"/>
      <c r="BD4" s="132"/>
      <c r="BE4" s="132"/>
      <c r="BF4" s="132"/>
      <c r="BG4" s="132"/>
      <c r="BH4" s="132"/>
      <c r="BI4" s="132"/>
      <c r="BJ4" s="129"/>
      <c r="BK4" s="130"/>
      <c r="BL4" s="132"/>
      <c r="BM4" s="132"/>
      <c r="BN4" s="130"/>
      <c r="BO4" s="131"/>
      <c r="BP4" s="131"/>
      <c r="BQ4" s="131"/>
      <c r="BR4" s="133"/>
      <c r="BS4" s="131"/>
      <c r="BT4" s="131"/>
      <c r="BU4" s="129"/>
      <c r="BV4" s="130"/>
      <c r="BW4" s="132"/>
      <c r="BX4" s="132"/>
      <c r="BY4" s="131"/>
      <c r="BZ4" s="131"/>
      <c r="CA4" s="131"/>
      <c r="CB4" s="131"/>
      <c r="CC4" s="131"/>
      <c r="CD4" s="131"/>
      <c r="CE4" s="131"/>
      <c r="CF4" s="212"/>
      <c r="CG4" s="130"/>
      <c r="CH4" s="130"/>
      <c r="CI4" s="130"/>
      <c r="CJ4" s="131"/>
      <c r="CK4" s="131"/>
      <c r="CL4" s="131"/>
      <c r="CM4" s="131"/>
      <c r="CN4" s="131"/>
      <c r="CO4" s="131"/>
      <c r="CP4" s="131"/>
      <c r="CQ4" s="212"/>
      <c r="CR4" s="130"/>
      <c r="CS4" s="130"/>
      <c r="CT4" s="131"/>
      <c r="CU4" s="134"/>
      <c r="CV4" s="131"/>
      <c r="CW4" s="131"/>
      <c r="CX4" s="131"/>
      <c r="CY4" s="212"/>
      <c r="CZ4" s="130"/>
      <c r="DA4" s="130"/>
      <c r="DB4" s="129"/>
    </row>
    <row r="5" spans="1:106" x14ac:dyDescent="0.3">
      <c r="A5" s="46" t="str">
        <f>IF('Building Typology'!A5=0," ",'Building Typology'!A5)</f>
        <v>Class 'A' - gas boiler</v>
      </c>
      <c r="B5" s="135"/>
      <c r="C5" s="136">
        <v>3.8</v>
      </c>
      <c r="D5" s="136">
        <v>3</v>
      </c>
      <c r="E5" s="137">
        <v>1</v>
      </c>
      <c r="F5" s="137">
        <v>0</v>
      </c>
      <c r="G5" s="231">
        <v>1</v>
      </c>
      <c r="H5" s="72">
        <f>(SQRT('Building Typology'!H5/G5)*2)*(1+G5)*(1-F5)</f>
        <v>149.66629547095766</v>
      </c>
      <c r="I5" s="72">
        <f>H5*(C5*'Building Typology'!I5)</f>
        <v>11374.638455792783</v>
      </c>
      <c r="J5" s="72">
        <f>I5-K5</f>
        <v>0</v>
      </c>
      <c r="K5" s="72">
        <f>I5*E5</f>
        <v>11374.638455792783</v>
      </c>
      <c r="L5" s="72">
        <f>H5*D5</f>
        <v>448.99888641287299</v>
      </c>
      <c r="M5" s="72">
        <f>'Building Typology'!H5</f>
        <v>1400</v>
      </c>
      <c r="N5" s="72">
        <f>'Building Typology'!H5</f>
        <v>1400</v>
      </c>
      <c r="O5" s="135"/>
      <c r="P5" s="138"/>
      <c r="Q5" s="139">
        <f>IF(P5=0,0,((J5)*'Global Inputs'!$C$36*(24))/P5/277778)</f>
        <v>0</v>
      </c>
      <c r="R5" s="139">
        <f>IF(P5=0,0,(J5*42/P5)/1000)</f>
        <v>0</v>
      </c>
      <c r="S5" s="135"/>
      <c r="T5" s="219">
        <v>0.35</v>
      </c>
      <c r="U5" s="139">
        <f>IF(T5=0,0,((K5)*'Global Inputs'!$C$36*(24))/T5/277778)</f>
        <v>12074.006566783704</v>
      </c>
      <c r="V5" s="139">
        <f>IF(T5=0,0,(K5*42/T5)/1000)</f>
        <v>1364.956614695134</v>
      </c>
      <c r="W5" s="135"/>
      <c r="X5" s="138">
        <v>1.2326999999999999</v>
      </c>
      <c r="Y5" s="139">
        <f>IF(X5=0,0,((M5)*'Global Inputs'!$C$36*(24))/X5/277778)</f>
        <v>421.94174081117296</v>
      </c>
      <c r="Z5" s="139">
        <f>IF(X5=0,0,(M5*42/X5)/1000)</f>
        <v>47.700170357751283</v>
      </c>
      <c r="AA5" s="135"/>
      <c r="AB5" s="139">
        <f t="shared" ref="AB5:AB9" si="0">Y5+Q5+U5</f>
        <v>12495.948307594877</v>
      </c>
      <c r="AC5" s="135"/>
      <c r="AD5" s="219"/>
      <c r="AE5" s="143">
        <v>0</v>
      </c>
      <c r="AF5" s="144">
        <f>AE5*J5*'Global Inputs'!$C$5</f>
        <v>0</v>
      </c>
      <c r="AG5" s="140">
        <f>IF(AD5=0,0,((J5)*'Global Inputs'!$C$36*(24))/AD5/277777.777777777)</f>
        <v>0</v>
      </c>
      <c r="AH5" s="140">
        <f>Q5-AG5</f>
        <v>0</v>
      </c>
      <c r="AI5" s="141">
        <f t="shared" ref="AI5:AI6" si="1">IF(AD5=0,0,(J5*42/AD5)/1000)</f>
        <v>0</v>
      </c>
      <c r="AJ5" s="141">
        <f t="shared" ref="AJ5:AJ6" si="2">R5-AI5</f>
        <v>0</v>
      </c>
      <c r="AK5" s="142">
        <f t="shared" ref="AK5:AK7" si="3">AJ5/398</f>
        <v>0</v>
      </c>
      <c r="AL5" s="141">
        <f t="shared" ref="AL5:AL7" si="4">AJ5/4.2</f>
        <v>0</v>
      </c>
      <c r="AM5" s="142">
        <f t="shared" ref="AM5:AM7" si="5">AL5/315.64</f>
        <v>0</v>
      </c>
      <c r="AN5" s="135"/>
      <c r="AO5" s="97">
        <v>0.55000000000000004</v>
      </c>
      <c r="AP5" s="143">
        <f>1840/10.7639</f>
        <v>170.94175902786165</v>
      </c>
      <c r="AQ5" s="144">
        <f>AP5*K5*'Global Inputs'!$C$5</f>
        <v>20929334.758658722</v>
      </c>
      <c r="AR5" s="140">
        <f>((K5)*'Global Inputs'!$C$36*(24))/AO5/277777.777777777</f>
        <v>7683.4648710839019</v>
      </c>
      <c r="AS5" s="140">
        <f>U5-AR5</f>
        <v>4390.5416956998024</v>
      </c>
      <c r="AT5" s="141">
        <f>(K5*42/AO5)/1000</f>
        <v>868.60875480599429</v>
      </c>
      <c r="AU5" s="140">
        <f>V5-AT5</f>
        <v>496.34785988913973</v>
      </c>
      <c r="AV5" s="142">
        <f>AU5/2413</f>
        <v>0.20569741396151667</v>
      </c>
      <c r="AW5" s="226">
        <f>AU5/4.2</f>
        <v>118.17806187836659</v>
      </c>
      <c r="AX5" s="142">
        <f>AW5/2714.88</f>
        <v>4.3529755229832108E-2</v>
      </c>
      <c r="AY5" s="135"/>
      <c r="AZ5" s="97">
        <v>1.2326999999999999</v>
      </c>
      <c r="BA5" s="143">
        <v>28.799970270998433</v>
      </c>
      <c r="BB5" s="144">
        <f>M5*BA5*'Global Inputs'!$C$5</f>
        <v>434000.00000000006</v>
      </c>
      <c r="BC5" s="140">
        <f>((M5)*'Global Inputs'!$C$36*(24))/AZ5/277777.777777777</f>
        <v>421.94207836456684</v>
      </c>
      <c r="BD5" s="140">
        <f>Y5-BC5</f>
        <v>-3.3755339387653294E-4</v>
      </c>
      <c r="BE5" s="141">
        <f>(M5*42/AZ5)/1000</f>
        <v>47.700170357751283</v>
      </c>
      <c r="BF5" s="141">
        <f>Z5-BE5</f>
        <v>0</v>
      </c>
      <c r="BG5" s="142">
        <f>BF5/2413</f>
        <v>0</v>
      </c>
      <c r="BH5" s="141">
        <f>BF5/4.2</f>
        <v>0</v>
      </c>
      <c r="BI5" s="142">
        <f>BH5/2714.88</f>
        <v>0</v>
      </c>
      <c r="BJ5" s="135"/>
      <c r="BK5" s="145">
        <v>0</v>
      </c>
      <c r="BL5" s="143">
        <v>0</v>
      </c>
      <c r="BM5" s="144">
        <f>J5*BL5*'Global Inputs'!$C$5</f>
        <v>0</v>
      </c>
      <c r="BN5" s="139">
        <f>IF(BK5=0,0,((J5)*('Global Inputs'!$C$36)*(24))/BK5/277777.777777777)</f>
        <v>0</v>
      </c>
      <c r="BO5" s="139">
        <f t="shared" ref="BO5:BO6" si="6">Q5-BN5</f>
        <v>0</v>
      </c>
      <c r="BP5" s="146">
        <f t="shared" ref="BP5:BP6" si="7">IF(BK5=0,0,(J5*42/BK5)/1000)</f>
        <v>0</v>
      </c>
      <c r="BQ5" s="146">
        <f t="shared" ref="BQ5:BQ6" si="8">R5-BP5</f>
        <v>0</v>
      </c>
      <c r="BR5" s="147">
        <f t="shared" ref="BR5:BR7" si="9">BQ5/398</f>
        <v>0</v>
      </c>
      <c r="BS5" s="148">
        <f t="shared" ref="BS5:BS7" si="10">BQ5/4.2</f>
        <v>0</v>
      </c>
      <c r="BT5" s="147">
        <f t="shared" ref="BT5:BT7" si="11">BS5/315.64</f>
        <v>0</v>
      </c>
      <c r="BU5" s="135"/>
      <c r="BV5" s="145">
        <v>0.7</v>
      </c>
      <c r="BW5" s="143">
        <f>2290.8/10.7639</f>
        <v>212.82248998968777</v>
      </c>
      <c r="BX5" s="144">
        <f>K5*BW5*'Global Inputs'!$C$5</f>
        <v>26057021.774530105</v>
      </c>
      <c r="BY5" s="139">
        <f>((K5)*('Global Inputs'!$C$36)*(24))/BV5/277777.777777777</f>
        <v>6037.0081129944956</v>
      </c>
      <c r="BZ5" s="139">
        <f>U5-BY5</f>
        <v>6036.9984537892087</v>
      </c>
      <c r="CA5" s="146">
        <f>(K5*42/BV5)/1000</f>
        <v>682.47830734756701</v>
      </c>
      <c r="CB5" s="146">
        <f>V5-CA5</f>
        <v>682.47830734756701</v>
      </c>
      <c r="CC5" s="147">
        <f>CB5/2413</f>
        <v>0.28283394419708535</v>
      </c>
      <c r="CD5" s="148">
        <f>CB5/4.2</f>
        <v>162.49483508275404</v>
      </c>
      <c r="CE5" s="147">
        <f>CD5/2714.88</f>
        <v>5.9853413441019132E-2</v>
      </c>
      <c r="CF5" s="135"/>
      <c r="CG5" s="188">
        <v>6.1635</v>
      </c>
      <c r="CH5" s="143">
        <v>78.967660420479575</v>
      </c>
      <c r="CI5" s="149">
        <f>M5*CH5*'Global Inputs'!$C$5</f>
        <v>1190000.0000000002</v>
      </c>
      <c r="CJ5" s="139">
        <f>((M5)*('Global Inputs'!$C$36)*(24))/CG5/277777.777777777</f>
        <v>84.388415672913354</v>
      </c>
      <c r="CK5" s="139">
        <f>Y5-CJ5</f>
        <v>337.55332513825959</v>
      </c>
      <c r="CL5" s="146">
        <f>(M5*42/CG5)/1000</f>
        <v>9.5400340715502558</v>
      </c>
      <c r="CM5" s="146">
        <f>Z5-CL5</f>
        <v>38.160136286201023</v>
      </c>
      <c r="CN5" s="147">
        <f>CM5/2413</f>
        <v>1.5814395477082892E-2</v>
      </c>
      <c r="CO5" s="148">
        <f>CM5/4.2</f>
        <v>9.0857467348097671</v>
      </c>
      <c r="CP5" s="147">
        <f>CO5/2714.88</f>
        <v>3.3466476362895474E-3</v>
      </c>
      <c r="CQ5" s="135"/>
      <c r="CR5" s="150">
        <v>0.85</v>
      </c>
      <c r="CS5" s="151">
        <v>531600</v>
      </c>
      <c r="CT5" s="139">
        <f>ROUNDUP('Building Typology'!K5*0.85*(0.11),-3)</f>
        <v>29000</v>
      </c>
      <c r="CU5" s="139">
        <f>CT5*0.024*CR5</f>
        <v>591.6</v>
      </c>
      <c r="CV5" s="146">
        <f>CU5/'Building Typology'!AM5</f>
        <v>0.24536380202077579</v>
      </c>
      <c r="CW5" s="139">
        <f>CU5/CR5</f>
        <v>696</v>
      </c>
      <c r="CX5" s="147">
        <f>CW5/'Building Typology'!AM5</f>
        <v>0.28866329649503031</v>
      </c>
      <c r="CY5" s="135"/>
      <c r="CZ5" s="152">
        <f>SUM(BN5,BY5,CJ5)</f>
        <v>6121.3965286674093</v>
      </c>
      <c r="DA5" s="152">
        <f>CZ5-AB5</f>
        <v>-6374.5517789274681</v>
      </c>
      <c r="DB5" s="135"/>
    </row>
    <row r="6" spans="1:106" x14ac:dyDescent="0.3">
      <c r="A6" s="46" t="str">
        <f>IF('Building Typology'!A6=0," ",'Building Typology'!A6)</f>
        <v>Class 'A' - district heating/ cooling</v>
      </c>
      <c r="B6" s="135"/>
      <c r="C6" s="136">
        <v>3.8</v>
      </c>
      <c r="D6" s="136">
        <v>3</v>
      </c>
      <c r="E6" s="137">
        <v>1</v>
      </c>
      <c r="F6" s="137">
        <v>0</v>
      </c>
      <c r="G6" s="231">
        <v>1</v>
      </c>
      <c r="H6" s="72">
        <f>(SQRT('Building Typology'!H6/G6)*2)*(1+G6)*(1-F6)</f>
        <v>149.66629547095766</v>
      </c>
      <c r="I6" s="72">
        <f>H6*(C6*'Building Typology'!I6)</f>
        <v>11374.638455792783</v>
      </c>
      <c r="J6" s="72">
        <f>I6-K6</f>
        <v>0</v>
      </c>
      <c r="K6" s="72">
        <f>I6*E6</f>
        <v>11374.638455792783</v>
      </c>
      <c r="L6" s="72">
        <f>H6*D6</f>
        <v>448.99888641287299</v>
      </c>
      <c r="M6" s="72">
        <f>'Building Typology'!H6</f>
        <v>1400</v>
      </c>
      <c r="N6" s="72">
        <f>'Building Typology'!H6</f>
        <v>1400</v>
      </c>
      <c r="O6" s="135"/>
      <c r="P6" s="138"/>
      <c r="Q6" s="139">
        <f>IF(P6=0,0,((J6)*'Global Inputs'!$C$36*(24))/P6/277778)</f>
        <v>0</v>
      </c>
      <c r="R6" s="139">
        <f>IF(P6=0,0,(J6*42/P6)/1000)</f>
        <v>0</v>
      </c>
      <c r="S6" s="135"/>
      <c r="T6" s="219">
        <v>0.35</v>
      </c>
      <c r="U6" s="139">
        <f>IF(T6=0,0,((K6)*'Global Inputs'!$C$36*(24))/T6/277778)</f>
        <v>12074.006566783704</v>
      </c>
      <c r="V6" s="139">
        <f>IF(T6=0,0,(K6*42/T6)/1000)</f>
        <v>1364.956614695134</v>
      </c>
      <c r="W6" s="135"/>
      <c r="X6" s="138">
        <v>1.2326999999999999</v>
      </c>
      <c r="Y6" s="139">
        <f>IF(X6=0,0,((M6)*'Global Inputs'!$C$36*(24))/X6/277778)</f>
        <v>421.94174081117296</v>
      </c>
      <c r="Z6" s="139">
        <f>IF(X6=0,0,(M6*42/X6)/1000)</f>
        <v>47.700170357751283</v>
      </c>
      <c r="AA6" s="135"/>
      <c r="AB6" s="139">
        <f t="shared" si="0"/>
        <v>12495.948307594877</v>
      </c>
      <c r="AC6" s="135"/>
      <c r="AD6" s="219"/>
      <c r="AE6" s="143">
        <v>0</v>
      </c>
      <c r="AF6" s="144">
        <f>AE6*J6*'Global Inputs'!$C$5</f>
        <v>0</v>
      </c>
      <c r="AG6" s="140">
        <f>IF(AD6=0,0,((J6)*'Global Inputs'!$C$36*(24))/AD6/277777.777777777)</f>
        <v>0</v>
      </c>
      <c r="AH6" s="140">
        <f>Q6-AG6</f>
        <v>0</v>
      </c>
      <c r="AI6" s="141">
        <f t="shared" si="1"/>
        <v>0</v>
      </c>
      <c r="AJ6" s="141">
        <f t="shared" si="2"/>
        <v>0</v>
      </c>
      <c r="AK6" s="142">
        <f t="shared" si="3"/>
        <v>0</v>
      </c>
      <c r="AL6" s="141">
        <f t="shared" si="4"/>
        <v>0</v>
      </c>
      <c r="AM6" s="142">
        <f t="shared" si="5"/>
        <v>0</v>
      </c>
      <c r="AN6" s="135"/>
      <c r="AO6" s="97">
        <v>0.55000000000000004</v>
      </c>
      <c r="AP6" s="143">
        <f t="shared" ref="AP6:AP7" si="12">1840/10.7639</f>
        <v>170.94175902786165</v>
      </c>
      <c r="AQ6" s="144">
        <f>AP6*K6*'Global Inputs'!$C$5</f>
        <v>20929334.758658722</v>
      </c>
      <c r="AR6" s="140">
        <f>((K6)*'Global Inputs'!$C$36*(24))/AO6/277777.777777777</f>
        <v>7683.4648710839019</v>
      </c>
      <c r="AS6" s="140">
        <f>U6-AR6</f>
        <v>4390.5416956998024</v>
      </c>
      <c r="AT6" s="141">
        <f>(K6*42/AO6)/1000</f>
        <v>868.60875480599429</v>
      </c>
      <c r="AU6" s="140">
        <f>V6-AT6</f>
        <v>496.34785988913973</v>
      </c>
      <c r="AV6" s="142">
        <f>AU6/2413</f>
        <v>0.20569741396151667</v>
      </c>
      <c r="AW6" s="226">
        <f>AU6/4.2</f>
        <v>118.17806187836659</v>
      </c>
      <c r="AX6" s="142">
        <f>AW6/2714.88</f>
        <v>4.3529755229832108E-2</v>
      </c>
      <c r="AY6" s="135"/>
      <c r="AZ6" s="97">
        <v>1.2326999999999999</v>
      </c>
      <c r="BA6" s="143">
        <v>28.799970270998433</v>
      </c>
      <c r="BB6" s="144">
        <f>M6*BA6*'Global Inputs'!$C$5</f>
        <v>434000.00000000006</v>
      </c>
      <c r="BC6" s="140">
        <f>((M6)*(4300)*(24))/AZ6/277777.777777777</f>
        <v>421.94207836456684</v>
      </c>
      <c r="BD6" s="140">
        <f>Y6-BC6</f>
        <v>-3.3755339387653294E-4</v>
      </c>
      <c r="BE6" s="141">
        <f>(M6*42/AZ6)/1000</f>
        <v>47.700170357751283</v>
      </c>
      <c r="BF6" s="141">
        <f>Z6-BE6</f>
        <v>0</v>
      </c>
      <c r="BG6" s="142">
        <f>BF6/2413</f>
        <v>0</v>
      </c>
      <c r="BH6" s="141">
        <f>BF6/4.2</f>
        <v>0</v>
      </c>
      <c r="BI6" s="142">
        <f>BH6/2714.88</f>
        <v>0</v>
      </c>
      <c r="BJ6" s="135"/>
      <c r="BK6" s="145">
        <v>0</v>
      </c>
      <c r="BL6" s="143">
        <v>0</v>
      </c>
      <c r="BM6" s="144">
        <f>J6*BL6*'Global Inputs'!$C$5</f>
        <v>0</v>
      </c>
      <c r="BN6" s="139">
        <f>IF(BK6=0,0,((J6)*('Global Inputs'!$C$36)*(24))/BK6/277777.777777777)</f>
        <v>0</v>
      </c>
      <c r="BO6" s="139">
        <f t="shared" si="6"/>
        <v>0</v>
      </c>
      <c r="BP6" s="146">
        <f t="shared" si="7"/>
        <v>0</v>
      </c>
      <c r="BQ6" s="146">
        <f t="shared" si="8"/>
        <v>0</v>
      </c>
      <c r="BR6" s="147">
        <f t="shared" si="9"/>
        <v>0</v>
      </c>
      <c r="BS6" s="148">
        <f t="shared" si="10"/>
        <v>0</v>
      </c>
      <c r="BT6" s="147">
        <f t="shared" si="11"/>
        <v>0</v>
      </c>
      <c r="BU6" s="135"/>
      <c r="BV6" s="145">
        <v>0.7</v>
      </c>
      <c r="BW6" s="143">
        <f t="shared" ref="BW6:BW7" si="13">2290.8/10.7639</f>
        <v>212.82248998968777</v>
      </c>
      <c r="BX6" s="144">
        <f>K6*BW6*'Global Inputs'!$C$5</f>
        <v>26057021.774530105</v>
      </c>
      <c r="BY6" s="139">
        <f>((K6)*('Global Inputs'!$C$36)*(24))/BV6/277777.777777777</f>
        <v>6037.0081129944956</v>
      </c>
      <c r="BZ6" s="139">
        <f>U6-BY6</f>
        <v>6036.9984537892087</v>
      </c>
      <c r="CA6" s="146">
        <f>(K6*42/BV6)/1000</f>
        <v>682.47830734756701</v>
      </c>
      <c r="CB6" s="146">
        <f>V6-CA6</f>
        <v>682.47830734756701</v>
      </c>
      <c r="CC6" s="147">
        <f>CB6/2413</f>
        <v>0.28283394419708535</v>
      </c>
      <c r="CD6" s="148">
        <f>CB6/4.2</f>
        <v>162.49483508275404</v>
      </c>
      <c r="CE6" s="147">
        <f>CD6/2714.88</f>
        <v>5.9853413441019132E-2</v>
      </c>
      <c r="CF6" s="135"/>
      <c r="CG6" s="188">
        <v>6.1635</v>
      </c>
      <c r="CH6" s="143">
        <v>78.967660420479575</v>
      </c>
      <c r="CI6" s="149">
        <f>M6*CH6*'Global Inputs'!$C$5</f>
        <v>1190000.0000000002</v>
      </c>
      <c r="CJ6" s="139">
        <f>((M6)*('Global Inputs'!$C$36)*(24))/CG6/277777.777777777</f>
        <v>84.388415672913354</v>
      </c>
      <c r="CK6" s="139">
        <f>Y6-CJ6</f>
        <v>337.55332513825959</v>
      </c>
      <c r="CL6" s="146">
        <f>(M6*42/CG6)/1000</f>
        <v>9.5400340715502558</v>
      </c>
      <c r="CM6" s="146">
        <f>Z6-CL6</f>
        <v>38.160136286201023</v>
      </c>
      <c r="CN6" s="147">
        <f>CM6/2413</f>
        <v>1.5814395477082892E-2</v>
      </c>
      <c r="CO6" s="148">
        <f>CM6/4.2</f>
        <v>9.0857467348097671</v>
      </c>
      <c r="CP6" s="147">
        <f>CO6/2714.88</f>
        <v>3.3466476362895474E-3</v>
      </c>
      <c r="CQ6" s="135"/>
      <c r="CR6" s="150">
        <v>0.85</v>
      </c>
      <c r="CS6" s="151">
        <v>531600</v>
      </c>
      <c r="CT6" s="139">
        <f>ROUNDUP('Building Typology'!K6*0.85*(0.11),-3)</f>
        <v>29000</v>
      </c>
      <c r="CU6" s="139">
        <f>CT6*0.024*CR6</f>
        <v>591.6</v>
      </c>
      <c r="CV6" s="146">
        <f>CU6/'Building Typology'!AM6</f>
        <v>0.24536380202077579</v>
      </c>
      <c r="CW6" s="139">
        <f>CU6/CR6</f>
        <v>696</v>
      </c>
      <c r="CX6" s="147">
        <f>CW6/'Building Typology'!AM6</f>
        <v>0.28866329649503031</v>
      </c>
      <c r="CY6" s="135"/>
      <c r="CZ6" s="152">
        <f>SUM(BN6,BY6,CJ6)</f>
        <v>6121.3965286674093</v>
      </c>
      <c r="DA6" s="152">
        <f>CZ6-AB6</f>
        <v>-6374.5517789274681</v>
      </c>
      <c r="DB6" s="135"/>
    </row>
    <row r="7" spans="1:106" x14ac:dyDescent="0.3">
      <c r="A7" s="46" t="str">
        <f>IF('Building Typology'!A7=0," ",'Building Typology'!A7)</f>
        <v>Class 'A' - electric</v>
      </c>
      <c r="B7" s="135"/>
      <c r="C7" s="136">
        <v>3.8</v>
      </c>
      <c r="D7" s="136">
        <v>3</v>
      </c>
      <c r="E7" s="137">
        <v>1</v>
      </c>
      <c r="F7" s="137">
        <v>0</v>
      </c>
      <c r="G7" s="231">
        <v>1</v>
      </c>
      <c r="H7" s="72">
        <f>(SQRT('Building Typology'!H7/G7)*2)*(1+G7)*(1-F7)</f>
        <v>149.66629547095766</v>
      </c>
      <c r="I7" s="72">
        <f>H7*(C7*'Building Typology'!I7)</f>
        <v>11374.638455792783</v>
      </c>
      <c r="J7" s="72">
        <f>I7-K7</f>
        <v>0</v>
      </c>
      <c r="K7" s="72">
        <f>I7*E7</f>
        <v>11374.638455792783</v>
      </c>
      <c r="L7" s="72">
        <f>H7*D7</f>
        <v>448.99888641287299</v>
      </c>
      <c r="M7" s="72">
        <f>'Building Typology'!H7</f>
        <v>1400</v>
      </c>
      <c r="N7" s="72">
        <f>'Building Typology'!H7</f>
        <v>1400</v>
      </c>
      <c r="O7" s="135"/>
      <c r="P7" s="138"/>
      <c r="Q7" s="139">
        <f>IF(P7=0,0,((J7)*'Global Inputs'!$C$36*(24))/P7/277778)</f>
        <v>0</v>
      </c>
      <c r="R7" s="139">
        <f>IF(P7=0,0,(J7*42/P7)/1000)</f>
        <v>0</v>
      </c>
      <c r="S7" s="135"/>
      <c r="T7" s="219">
        <v>0.35</v>
      </c>
      <c r="U7" s="139">
        <f>IF(T7=0,0,((K7)*'Global Inputs'!$C$36*(24))/T7/277778)</f>
        <v>12074.006566783704</v>
      </c>
      <c r="V7" s="139">
        <f>IF(T7=0,0,(K7*42/T7)/1000)</f>
        <v>1364.956614695134</v>
      </c>
      <c r="W7" s="135"/>
      <c r="X7" s="138">
        <v>1.2326999999999999</v>
      </c>
      <c r="Y7" s="139">
        <f>IF(X7=0,0,((M7)*'Global Inputs'!$C$36*(24))/X7/277778)</f>
        <v>421.94174081117296</v>
      </c>
      <c r="Z7" s="139">
        <f>IF(X7=0,0,(M7*42/X7)/1000)</f>
        <v>47.700170357751283</v>
      </c>
      <c r="AA7" s="135"/>
      <c r="AB7" s="139">
        <f t="shared" si="0"/>
        <v>12495.948307594877</v>
      </c>
      <c r="AC7" s="135"/>
      <c r="AD7" s="219"/>
      <c r="AE7" s="143">
        <v>0</v>
      </c>
      <c r="AF7" s="144">
        <f>AE7*J7*'Global Inputs'!$C$5</f>
        <v>0</v>
      </c>
      <c r="AG7" s="140">
        <f>IF(AD7=0,0,((J7)*'Global Inputs'!$C$36*(24))/AD7/277777.777777777)</f>
        <v>0</v>
      </c>
      <c r="AH7" s="140">
        <f>Q7-AG7</f>
        <v>0</v>
      </c>
      <c r="AI7" s="141">
        <f>IF(AD7=0,0,(J7*42/AD7)/1000)</f>
        <v>0</v>
      </c>
      <c r="AJ7" s="141">
        <f>R7-AI7</f>
        <v>0</v>
      </c>
      <c r="AK7" s="142">
        <f t="shared" si="3"/>
        <v>0</v>
      </c>
      <c r="AL7" s="141">
        <f t="shared" si="4"/>
        <v>0</v>
      </c>
      <c r="AM7" s="142">
        <f t="shared" si="5"/>
        <v>0</v>
      </c>
      <c r="AN7" s="135"/>
      <c r="AO7" s="97">
        <v>0.55000000000000004</v>
      </c>
      <c r="AP7" s="143">
        <f t="shared" si="12"/>
        <v>170.94175902786165</v>
      </c>
      <c r="AQ7" s="144">
        <f>AP7*K7*'Global Inputs'!$C$5</f>
        <v>20929334.758658722</v>
      </c>
      <c r="AR7" s="140">
        <f>((K7)*'Global Inputs'!$C$36*(24))/AO7/277777.777777777</f>
        <v>7683.4648710839019</v>
      </c>
      <c r="AS7" s="140">
        <f>U7-AR7</f>
        <v>4390.5416956998024</v>
      </c>
      <c r="AT7" s="141">
        <f>(K7*42/AO7)/1000</f>
        <v>868.60875480599429</v>
      </c>
      <c r="AU7" s="140">
        <f>V7-AT7</f>
        <v>496.34785988913973</v>
      </c>
      <c r="AV7" s="142">
        <f>AU7/2413</f>
        <v>0.20569741396151667</v>
      </c>
      <c r="AW7" s="226">
        <f>AU7/4.2</f>
        <v>118.17806187836659</v>
      </c>
      <c r="AX7" s="142">
        <f>AW7/2714.88</f>
        <v>4.3529755229832108E-2</v>
      </c>
      <c r="AY7" s="135"/>
      <c r="AZ7" s="97">
        <v>1.2326999999999999</v>
      </c>
      <c r="BA7" s="143">
        <v>28.799970270998433</v>
      </c>
      <c r="BB7" s="144">
        <f>M7*BA7*'Global Inputs'!$C$5</f>
        <v>434000.00000000006</v>
      </c>
      <c r="BC7" s="140">
        <f>((M7)*(4300)*(24))/AZ7/277777.777777777</f>
        <v>421.94207836456684</v>
      </c>
      <c r="BD7" s="140">
        <f>Y7-BC7</f>
        <v>-3.3755339387653294E-4</v>
      </c>
      <c r="BE7" s="141">
        <f>(M7*42/AZ7)/1000</f>
        <v>47.700170357751283</v>
      </c>
      <c r="BF7" s="141">
        <f>Z7-BE7</f>
        <v>0</v>
      </c>
      <c r="BG7" s="142">
        <f>BF7/2413</f>
        <v>0</v>
      </c>
      <c r="BH7" s="141">
        <f>BF7/4.2</f>
        <v>0</v>
      </c>
      <c r="BI7" s="142">
        <f>BH7/2714.88</f>
        <v>0</v>
      </c>
      <c r="BJ7" s="135"/>
      <c r="BK7" s="145">
        <v>0</v>
      </c>
      <c r="BL7" s="143">
        <v>0</v>
      </c>
      <c r="BM7" s="144">
        <f>J7*BL7*'Global Inputs'!$C$5</f>
        <v>0</v>
      </c>
      <c r="BN7" s="139">
        <f>IF(BK7=0,0,((J7)*('Global Inputs'!$C$36)*(24))/BK7/277777.777777777)</f>
        <v>0</v>
      </c>
      <c r="BO7" s="139">
        <f>Q7-BN7</f>
        <v>0</v>
      </c>
      <c r="BP7" s="146">
        <f>IF(BK7=0,0,(J7*42/BK7)/1000)</f>
        <v>0</v>
      </c>
      <c r="BQ7" s="146">
        <f>R7-BP7</f>
        <v>0</v>
      </c>
      <c r="BR7" s="147">
        <f t="shared" si="9"/>
        <v>0</v>
      </c>
      <c r="BS7" s="148">
        <f t="shared" si="10"/>
        <v>0</v>
      </c>
      <c r="BT7" s="147">
        <f t="shared" si="11"/>
        <v>0</v>
      </c>
      <c r="BU7" s="135"/>
      <c r="BV7" s="145">
        <v>0.7</v>
      </c>
      <c r="BW7" s="143">
        <f t="shared" si="13"/>
        <v>212.82248998968777</v>
      </c>
      <c r="BX7" s="144">
        <f>K7*BW7*'Global Inputs'!$C$5</f>
        <v>26057021.774530105</v>
      </c>
      <c r="BY7" s="139">
        <f>((K7)*('Global Inputs'!$C$36)*(24))/BV7/277777.777777777</f>
        <v>6037.0081129944956</v>
      </c>
      <c r="BZ7" s="139">
        <f>U7-BY7</f>
        <v>6036.9984537892087</v>
      </c>
      <c r="CA7" s="146">
        <f>(K7*42/BV7)/1000</f>
        <v>682.47830734756701</v>
      </c>
      <c r="CB7" s="146">
        <f>V7-CA7</f>
        <v>682.47830734756701</v>
      </c>
      <c r="CC7" s="147">
        <f>CB7/2413</f>
        <v>0.28283394419708535</v>
      </c>
      <c r="CD7" s="148">
        <f>CB7/4.2</f>
        <v>162.49483508275404</v>
      </c>
      <c r="CE7" s="147">
        <f>CD7/2714.88</f>
        <v>5.9853413441019132E-2</v>
      </c>
      <c r="CF7" s="135"/>
      <c r="CG7" s="188">
        <v>6.1635</v>
      </c>
      <c r="CH7" s="143">
        <v>78.967660420479575</v>
      </c>
      <c r="CI7" s="149">
        <f>M7*CH7*'Global Inputs'!$C$5</f>
        <v>1190000.0000000002</v>
      </c>
      <c r="CJ7" s="139">
        <f>((M7)*('Global Inputs'!$C$36)*(24))/CG7/277777.777777777</f>
        <v>84.388415672913354</v>
      </c>
      <c r="CK7" s="139">
        <f>Y7-CJ7</f>
        <v>337.55332513825959</v>
      </c>
      <c r="CL7" s="146">
        <f>(M7*42/CG7)/1000</f>
        <v>9.5400340715502558</v>
      </c>
      <c r="CM7" s="146">
        <f>Z7-CL7</f>
        <v>38.160136286201023</v>
      </c>
      <c r="CN7" s="147">
        <f>CM7/2413</f>
        <v>1.5814395477082892E-2</v>
      </c>
      <c r="CO7" s="148">
        <f>CM7/4.2</f>
        <v>9.0857467348097671</v>
      </c>
      <c r="CP7" s="147">
        <f>CO7/2714.88</f>
        <v>3.3466476362895474E-3</v>
      </c>
      <c r="CQ7" s="135"/>
      <c r="CR7" s="150">
        <v>0.85</v>
      </c>
      <c r="CS7" s="151">
        <v>531600</v>
      </c>
      <c r="CT7" s="139">
        <f>ROUNDUP('Building Typology'!K7*0.85*(0.11),-3)</f>
        <v>29000</v>
      </c>
      <c r="CU7" s="139">
        <f>CT7*0.024*CR7</f>
        <v>591.6</v>
      </c>
      <c r="CV7" s="146">
        <f>CU7/'Building Typology'!AM7</f>
        <v>0.24536380202077579</v>
      </c>
      <c r="CW7" s="139">
        <f>CU7/CR7</f>
        <v>696</v>
      </c>
      <c r="CX7" s="147">
        <f>CW7/'Building Typology'!AM7</f>
        <v>0.28866329649503031</v>
      </c>
      <c r="CY7" s="135"/>
      <c r="CZ7" s="152">
        <f>SUM(BN7,BY7,CJ7)</f>
        <v>6121.3965286674093</v>
      </c>
      <c r="DA7" s="152">
        <f>CZ7-AB7</f>
        <v>-6374.5517789274681</v>
      </c>
      <c r="DB7" s="135"/>
    </row>
    <row r="8" spans="1:106" x14ac:dyDescent="0.3">
      <c r="A8" s="46" t="str">
        <f>IF('Building Typology'!A8=0," ",'Building Typology'!A8)</f>
        <v>Class 'B' &amp; 'C' - rooftop units</v>
      </c>
      <c r="B8" s="135"/>
      <c r="C8" s="136">
        <v>3.8</v>
      </c>
      <c r="D8" s="136">
        <v>3</v>
      </c>
      <c r="E8" s="137">
        <v>0.6</v>
      </c>
      <c r="F8" s="137">
        <v>0</v>
      </c>
      <c r="G8" s="231">
        <v>1</v>
      </c>
      <c r="H8" s="72">
        <f>(SQRT('Building Typology'!H8/G8)*2)*(1+G8)*(1-F8)</f>
        <v>94.657276529593858</v>
      </c>
      <c r="I8" s="72">
        <f>H8*(C8*'Building Typology'!I8)</f>
        <v>2158.1859048747397</v>
      </c>
      <c r="J8" s="72">
        <f>I8-K8</f>
        <v>863.27436194989582</v>
      </c>
      <c r="K8" s="72">
        <f>I8*E8</f>
        <v>1294.9115429248438</v>
      </c>
      <c r="L8" s="72">
        <f>H8*D8</f>
        <v>283.97182958878159</v>
      </c>
      <c r="M8" s="72">
        <f>'Building Typology'!H8</f>
        <v>560</v>
      </c>
      <c r="N8" s="72">
        <f>'Building Typology'!H8</f>
        <v>560</v>
      </c>
      <c r="O8" s="135"/>
      <c r="P8" s="138">
        <v>1.7</v>
      </c>
      <c r="Q8" s="139">
        <f>IF(P8=0,0,((J8)*'Global Inputs'!$C$36*(24))/P8/277778)</f>
        <v>188.66084374875166</v>
      </c>
      <c r="R8" s="139">
        <f>IF(P8=0,0,(J8*42/P8)/1000)</f>
        <v>21.327954824644486</v>
      </c>
      <c r="S8" s="135"/>
      <c r="T8" s="219">
        <v>0.27</v>
      </c>
      <c r="U8" s="139">
        <f>IF(T8=0,0,((K8)*'Global Inputs'!$C$36*(24))/T8/277778)</f>
        <v>1781.7968576270989</v>
      </c>
      <c r="V8" s="139">
        <f>IF(T8=0,0,(K8*42/T8)/1000)</f>
        <v>201.43068445497568</v>
      </c>
      <c r="W8" s="135"/>
      <c r="X8" s="138">
        <v>1.2326999999999999</v>
      </c>
      <c r="Y8" s="139">
        <f>IF(X8=0,0,((M8)*'Global Inputs'!$C$36*(24))/X8/277778)</f>
        <v>168.77669632446919</v>
      </c>
      <c r="Z8" s="139">
        <f>IF(X8=0,0,(M8*42/X8)/1000)</f>
        <v>19.080068143100515</v>
      </c>
      <c r="AA8" s="135"/>
      <c r="AB8" s="139">
        <f t="shared" si="0"/>
        <v>2139.2343977003197</v>
      </c>
      <c r="AC8" s="135"/>
      <c r="AD8" s="219">
        <v>6.6</v>
      </c>
      <c r="AE8" s="143">
        <v>20.903204228950475</v>
      </c>
      <c r="AF8" s="144">
        <f>AE8*J8*'Global Inputs'!$C$5</f>
        <v>194236.73143872657</v>
      </c>
      <c r="AG8" s="140">
        <f>IF(AD8=0,0,((J8)*'Global Inputs'!$C$36*(24))/AD8/277777.777777777)</f>
        <v>48.594498629034277</v>
      </c>
      <c r="AH8" s="140">
        <f>Q8-AG8</f>
        <v>140.06634511971737</v>
      </c>
      <c r="AI8" s="141">
        <f>IF(AD8=0,0,(J8*42/AD8)/1000)</f>
        <v>5.4935641214993378</v>
      </c>
      <c r="AJ8" s="141">
        <f>R8-AI8</f>
        <v>15.834390703145148</v>
      </c>
      <c r="AK8" s="142">
        <f>AJ8/398</f>
        <v>3.978490126418379E-2</v>
      </c>
      <c r="AL8" s="141">
        <f>AJ8/4.2</f>
        <v>3.7700930245583684</v>
      </c>
      <c r="AM8" s="142">
        <f>AL8/315.64</f>
        <v>1.194428153769601E-2</v>
      </c>
      <c r="AN8" s="135"/>
      <c r="AO8" s="97">
        <v>1.2</v>
      </c>
      <c r="AP8" s="143">
        <f>1600/10.7639</f>
        <v>148.64500785031447</v>
      </c>
      <c r="AQ8" s="144">
        <f>AP8*K8*'Global Inputs'!$C$5</f>
        <v>2071858.4686797499</v>
      </c>
      <c r="AR8" s="140">
        <f>((K8)*'Global Inputs'!$C$36*(24))/AO8/277777.777777777</f>
        <v>400.90461368953282</v>
      </c>
      <c r="AS8" s="140">
        <f>U8-AR8</f>
        <v>1380.892243937566</v>
      </c>
      <c r="AT8" s="141">
        <f>(K8*42/AO8)/1000</f>
        <v>45.321904002369536</v>
      </c>
      <c r="AU8" s="140">
        <f>V8-AT8</f>
        <v>156.10878045260614</v>
      </c>
      <c r="AV8" s="142">
        <f>AU8/398</f>
        <v>0.39223311671509081</v>
      </c>
      <c r="AW8" s="226">
        <f>AU8/4.2</f>
        <v>37.168757250620509</v>
      </c>
      <c r="AX8" s="142">
        <f>AW8/315.64</f>
        <v>0.11775680284697919</v>
      </c>
      <c r="AY8" s="135"/>
      <c r="AZ8" s="97">
        <v>1.2326999999999999</v>
      </c>
      <c r="BA8" s="143">
        <v>26.477392023337266</v>
      </c>
      <c r="BB8" s="144">
        <f>M8*BA8*'Global Inputs'!$C$5</f>
        <v>159600</v>
      </c>
      <c r="BC8" s="140">
        <f>((M8)*(4300)*(24))/AZ8/277777.777777777</f>
        <v>168.77683134582671</v>
      </c>
      <c r="BD8" s="140">
        <f>Y8-BC8</f>
        <v>-1.3502135752219147E-4</v>
      </c>
      <c r="BE8" s="141">
        <f>(M8*42/AZ8)/1000</f>
        <v>19.080068143100515</v>
      </c>
      <c r="BF8" s="141">
        <f>Z8-BE8</f>
        <v>0</v>
      </c>
      <c r="BG8" s="142">
        <f>BF8/398</f>
        <v>0</v>
      </c>
      <c r="BH8" s="141">
        <f>BF8/4.2</f>
        <v>0</v>
      </c>
      <c r="BI8" s="142">
        <f>BH8/315.64</f>
        <v>0</v>
      </c>
      <c r="BJ8" s="135"/>
      <c r="BK8" s="145">
        <v>6.6</v>
      </c>
      <c r="BL8" s="143">
        <f>932.8/10.7639</f>
        <v>86.66003957673334</v>
      </c>
      <c r="BM8" s="144">
        <f>J8*BL8*'Global Inputs'!$C$5</f>
        <v>805262.3248268629</v>
      </c>
      <c r="BN8" s="139">
        <f>IF(BK8=0,0,((J8)*('Global Inputs'!$C$36)*(24))/BK8/277777.777777777)</f>
        <v>48.594498629034277</v>
      </c>
      <c r="BO8" s="139">
        <f>Q8-BN8</f>
        <v>140.06634511971737</v>
      </c>
      <c r="BP8" s="146">
        <f>(J8*42/BK8)/1000</f>
        <v>5.4935641214993378</v>
      </c>
      <c r="BQ8" s="146">
        <f>R8-BP8</f>
        <v>15.834390703145148</v>
      </c>
      <c r="BR8" s="147">
        <f>BQ8/398</f>
        <v>3.978490126418379E-2</v>
      </c>
      <c r="BS8" s="148">
        <f>BQ8/4.2</f>
        <v>3.7700930245583684</v>
      </c>
      <c r="BT8" s="147">
        <f>BS8/315.64</f>
        <v>1.194428153769601E-2</v>
      </c>
      <c r="BU8" s="135"/>
      <c r="BV8" s="145">
        <v>0.93</v>
      </c>
      <c r="BW8" s="143">
        <f>2135.9/10.7639</f>
        <v>198.43179516717919</v>
      </c>
      <c r="BX8" s="144">
        <f>K8*BW8*'Global Inputs'!$C$5</f>
        <v>2765801.564533174</v>
      </c>
      <c r="BY8" s="139">
        <f>((K8)*('Global Inputs'!$C$36)*(24))/BV8/277777.777777777</f>
        <v>517.29627572842935</v>
      </c>
      <c r="BZ8" s="139">
        <f>U8-BY8</f>
        <v>1264.5005818986697</v>
      </c>
      <c r="CA8" s="146">
        <f>(K8*42/BV8)/1000</f>
        <v>58.479876132089714</v>
      </c>
      <c r="CB8" s="146">
        <f>V8-CA8</f>
        <v>142.95080832288596</v>
      </c>
      <c r="CC8" s="147">
        <f>CB8/398</f>
        <v>0.35917288523338181</v>
      </c>
      <c r="CD8" s="148">
        <f>CB8/4.2</f>
        <v>34.035906743544274</v>
      </c>
      <c r="CE8" s="147">
        <f>CD8/315.64</f>
        <v>0.10783141155602673</v>
      </c>
      <c r="CF8" s="135"/>
      <c r="CG8" s="188">
        <v>5.8</v>
      </c>
      <c r="CH8" s="143">
        <v>72.371538197121865</v>
      </c>
      <c r="CI8" s="149">
        <f>M8*CH8*'Global Inputs'!$C$5</f>
        <v>436240.00000000006</v>
      </c>
      <c r="CJ8" s="139">
        <f>((M8)*('Global Inputs'!$C$36)*(24))/CG8/277777.777777777</f>
        <v>35.870896551724243</v>
      </c>
      <c r="CK8" s="139">
        <f>Y8-CJ8</f>
        <v>132.90579977274496</v>
      </c>
      <c r="CL8" s="146">
        <f>(M8*42/CG8)/1000</f>
        <v>4.0551724137931036</v>
      </c>
      <c r="CM8" s="146">
        <f>Z8-CL8</f>
        <v>15.024895729307412</v>
      </c>
      <c r="CN8" s="147">
        <f>CM8/398</f>
        <v>3.7750994294742241E-2</v>
      </c>
      <c r="CO8" s="148">
        <f>CM8/4.2</f>
        <v>3.577356126025574</v>
      </c>
      <c r="CP8" s="147">
        <f>CO8/315.64</f>
        <v>1.1333658997673217E-2</v>
      </c>
      <c r="CQ8" s="135"/>
      <c r="CR8" s="150">
        <v>0.7</v>
      </c>
      <c r="CS8" s="151">
        <v>776550</v>
      </c>
      <c r="CT8" s="139">
        <f>ROUNDUP('Building Typology'!K8*0.85*(0.11),-3)</f>
        <v>4000</v>
      </c>
      <c r="CU8" s="139">
        <f>CT8*0.024*CR8</f>
        <v>67.199999999999989</v>
      </c>
      <c r="CV8" s="146">
        <f>CU8/'Building Typology'!AM8</f>
        <v>0.16891478164808463</v>
      </c>
      <c r="CW8" s="139">
        <f>CU8/CR8</f>
        <v>95.999999999999986</v>
      </c>
      <c r="CX8" s="147">
        <f>CW8/'Building Typology'!AM8</f>
        <v>0.24130683092583519</v>
      </c>
      <c r="CY8" s="135"/>
      <c r="CZ8" s="152">
        <f>SUM(BN8,BY8,CJ8)</f>
        <v>601.76167090918796</v>
      </c>
      <c r="DA8" s="152">
        <f>CZ8-AB8</f>
        <v>-1537.4727267911317</v>
      </c>
      <c r="DB8" s="135"/>
    </row>
    <row r="9" spans="1:106" x14ac:dyDescent="0.3">
      <c r="A9" s="46" t="str">
        <f>IF('Building Typology'!A9=0," ",'Building Typology'!A9)</f>
        <v>Class 'B' &amp; 'C' - electric</v>
      </c>
      <c r="B9" s="135"/>
      <c r="C9" s="136">
        <v>3.8</v>
      </c>
      <c r="D9" s="136">
        <v>3</v>
      </c>
      <c r="E9" s="137">
        <v>0.6</v>
      </c>
      <c r="F9" s="137">
        <v>0</v>
      </c>
      <c r="G9" s="231">
        <v>1</v>
      </c>
      <c r="H9" s="72">
        <f>(SQRT('Building Typology'!H9/G9)*2)*(1+G9)*(1-F9)</f>
        <v>94.657276529593858</v>
      </c>
      <c r="I9" s="72">
        <f>H9*(C9*'Building Typology'!I9)</f>
        <v>2158.1859048747397</v>
      </c>
      <c r="J9" s="72">
        <f>I9-K9</f>
        <v>863.27436194989582</v>
      </c>
      <c r="K9" s="72">
        <f>I9*E9</f>
        <v>1294.9115429248438</v>
      </c>
      <c r="L9" s="72">
        <f>H9*D9</f>
        <v>283.97182958878159</v>
      </c>
      <c r="M9" s="72">
        <f>'Building Typology'!H9</f>
        <v>560</v>
      </c>
      <c r="N9" s="72">
        <f>'Building Typology'!H9</f>
        <v>560</v>
      </c>
      <c r="O9" s="135"/>
      <c r="P9" s="138">
        <v>1.7</v>
      </c>
      <c r="Q9" s="139">
        <f>IF(P9=0,0,((J9)*'Global Inputs'!$C$36*(24))/P9/277778)</f>
        <v>188.66084374875166</v>
      </c>
      <c r="R9" s="139">
        <f>IF(P9=0,0,(J9*42/P9)/1000)</f>
        <v>21.327954824644486</v>
      </c>
      <c r="S9" s="135"/>
      <c r="T9" s="219">
        <v>0.27</v>
      </c>
      <c r="U9" s="139">
        <f>IF(T9=0,0,((K9)*'Global Inputs'!$C$36*(24))/T9/277778)</f>
        <v>1781.7968576270989</v>
      </c>
      <c r="V9" s="139">
        <f>IF(T9=0,0,(K9*42/T9)/1000)</f>
        <v>201.43068445497568</v>
      </c>
      <c r="W9" s="135"/>
      <c r="X9" s="138">
        <v>1.2326999999999999</v>
      </c>
      <c r="Y9" s="139">
        <f>IF(X9=0,0,((M9)*'Global Inputs'!$C$36*(24))/X9/277778)</f>
        <v>168.77669632446919</v>
      </c>
      <c r="Z9" s="139">
        <f>IF(X9=0,0,(M9*42/X9)/1000)</f>
        <v>19.080068143100515</v>
      </c>
      <c r="AA9" s="135"/>
      <c r="AB9" s="139">
        <f t="shared" si="0"/>
        <v>2139.2343977003197</v>
      </c>
      <c r="AC9" s="135"/>
      <c r="AD9" s="219">
        <v>6.6</v>
      </c>
      <c r="AE9" s="143">
        <v>20.903204228950475</v>
      </c>
      <c r="AF9" s="144">
        <f>AE9*J9*'Global Inputs'!$C$5</f>
        <v>194236.73143872657</v>
      </c>
      <c r="AG9" s="140">
        <f>IF(AD9=0,0,((J9)*'Global Inputs'!$C$36*(24))/AD9/277777.777777777)</f>
        <v>48.594498629034277</v>
      </c>
      <c r="AH9" s="140">
        <f>Q9-AG9</f>
        <v>140.06634511971737</v>
      </c>
      <c r="AI9" s="141">
        <f>IF(AD9=0,0,(J9*42/AD9)/1000)</f>
        <v>5.4935641214993378</v>
      </c>
      <c r="AJ9" s="141">
        <f>R9-AI9</f>
        <v>15.834390703145148</v>
      </c>
      <c r="AK9" s="142">
        <f>AJ9/398</f>
        <v>3.978490126418379E-2</v>
      </c>
      <c r="AL9" s="141">
        <f>AJ9/4.2</f>
        <v>3.7700930245583684</v>
      </c>
      <c r="AM9" s="142">
        <f>AL9/315.64</f>
        <v>1.194428153769601E-2</v>
      </c>
      <c r="AN9" s="135"/>
      <c r="AO9" s="97">
        <v>1.2</v>
      </c>
      <c r="AP9" s="143">
        <f>1600/10.7639</f>
        <v>148.64500785031447</v>
      </c>
      <c r="AQ9" s="144">
        <f>AP9*K9*'Global Inputs'!$C$5</f>
        <v>2071858.4686797499</v>
      </c>
      <c r="AR9" s="140">
        <f>((K9)*'Global Inputs'!$C$36*(24))/AO9/277777.777777777</f>
        <v>400.90461368953282</v>
      </c>
      <c r="AS9" s="140">
        <f>U9-AR9</f>
        <v>1380.892243937566</v>
      </c>
      <c r="AT9" s="141">
        <f>(K9*42/AO9)/1000</f>
        <v>45.321904002369536</v>
      </c>
      <c r="AU9" s="140">
        <f>V9-AT9</f>
        <v>156.10878045260614</v>
      </c>
      <c r="AV9" s="142">
        <f>AU9/398</f>
        <v>0.39223311671509081</v>
      </c>
      <c r="AW9" s="226">
        <f>AU9/4.2</f>
        <v>37.168757250620509</v>
      </c>
      <c r="AX9" s="142">
        <f>AW9/315.64</f>
        <v>0.11775680284697919</v>
      </c>
      <c r="AY9" s="135"/>
      <c r="AZ9" s="97">
        <v>1.2326999999999999</v>
      </c>
      <c r="BA9" s="143">
        <v>26.477392023337266</v>
      </c>
      <c r="BB9" s="144">
        <f>M9*BA9*'Global Inputs'!$C$5</f>
        <v>159600</v>
      </c>
      <c r="BC9" s="140">
        <f>((M9)*(4300)*(24))/AZ9/277777.777777777</f>
        <v>168.77683134582671</v>
      </c>
      <c r="BD9" s="140">
        <f>Y9-BC9</f>
        <v>-1.3502135752219147E-4</v>
      </c>
      <c r="BE9" s="141">
        <f>(M9*42/AZ9)/1000</f>
        <v>19.080068143100515</v>
      </c>
      <c r="BF9" s="141">
        <f>Z9-BE9</f>
        <v>0</v>
      </c>
      <c r="BG9" s="142">
        <f>BF9/398</f>
        <v>0</v>
      </c>
      <c r="BH9" s="141">
        <f>BF9/4.2</f>
        <v>0</v>
      </c>
      <c r="BI9" s="142">
        <f>BH9/315.64</f>
        <v>0</v>
      </c>
      <c r="BJ9" s="135"/>
      <c r="BK9" s="145">
        <v>6.6</v>
      </c>
      <c r="BL9" s="143">
        <f>932.8/10.7639</f>
        <v>86.66003957673334</v>
      </c>
      <c r="BM9" s="144">
        <f>J9*BL9*'Global Inputs'!$C$5</f>
        <v>805262.3248268629</v>
      </c>
      <c r="BN9" s="139">
        <f>IF(BK9=0,0,((J9)*('Global Inputs'!$C$36)*(24))/BK9/277777.777777777)</f>
        <v>48.594498629034277</v>
      </c>
      <c r="BO9" s="139">
        <f>Q9-BN9</f>
        <v>140.06634511971737</v>
      </c>
      <c r="BP9" s="146">
        <f>(J9*42/BK9)/1000</f>
        <v>5.4935641214993378</v>
      </c>
      <c r="BQ9" s="146">
        <f>R9-BP9</f>
        <v>15.834390703145148</v>
      </c>
      <c r="BR9" s="147">
        <f>BQ9/398</f>
        <v>3.978490126418379E-2</v>
      </c>
      <c r="BS9" s="148">
        <f>BQ9/4.2</f>
        <v>3.7700930245583684</v>
      </c>
      <c r="BT9" s="147">
        <f>BS9/315.64</f>
        <v>1.194428153769601E-2</v>
      </c>
      <c r="BU9" s="135"/>
      <c r="BV9" s="145">
        <v>0.93</v>
      </c>
      <c r="BW9" s="143">
        <f>2135.9/10.7639</f>
        <v>198.43179516717919</v>
      </c>
      <c r="BX9" s="144">
        <f>K9*BW9*'Global Inputs'!$C$5</f>
        <v>2765801.564533174</v>
      </c>
      <c r="BY9" s="139">
        <f>((K9)*('Global Inputs'!$C$36)*(24))/BV9/277777.777777777</f>
        <v>517.29627572842935</v>
      </c>
      <c r="BZ9" s="139">
        <f>U9-BY9</f>
        <v>1264.5005818986697</v>
      </c>
      <c r="CA9" s="146">
        <f>(K9*42/BV9)/1000</f>
        <v>58.479876132089714</v>
      </c>
      <c r="CB9" s="146">
        <f>V9-CA9</f>
        <v>142.95080832288596</v>
      </c>
      <c r="CC9" s="147">
        <f>CB9/398</f>
        <v>0.35917288523338181</v>
      </c>
      <c r="CD9" s="148">
        <f>CB9/4.2</f>
        <v>34.035906743544274</v>
      </c>
      <c r="CE9" s="147">
        <f>CD9/315.64</f>
        <v>0.10783141155602673</v>
      </c>
      <c r="CF9" s="135"/>
      <c r="CG9" s="188">
        <f>CG8</f>
        <v>5.8</v>
      </c>
      <c r="CH9" s="143">
        <v>72.371538197121865</v>
      </c>
      <c r="CI9" s="149">
        <f>M9*CH9*'Global Inputs'!$C$5</f>
        <v>436240.00000000006</v>
      </c>
      <c r="CJ9" s="139">
        <f>((M9)*('Global Inputs'!$C$36)*(24))/CG9/277777.777777777</f>
        <v>35.870896551724243</v>
      </c>
      <c r="CK9" s="139">
        <f>Y9-CJ9</f>
        <v>132.90579977274496</v>
      </c>
      <c r="CL9" s="146">
        <f>(M9*42/CG9)/1000</f>
        <v>4.0551724137931036</v>
      </c>
      <c r="CM9" s="146">
        <f>Z9-CL9</f>
        <v>15.024895729307412</v>
      </c>
      <c r="CN9" s="147">
        <f>CM9/398</f>
        <v>3.7750994294742241E-2</v>
      </c>
      <c r="CO9" s="148">
        <f>CM9/4.2</f>
        <v>3.577356126025574</v>
      </c>
      <c r="CP9" s="147">
        <f>CO9/315.64</f>
        <v>1.1333658997673217E-2</v>
      </c>
      <c r="CQ9" s="135"/>
      <c r="CR9" s="150">
        <v>0.7</v>
      </c>
      <c r="CS9" s="151">
        <v>776550</v>
      </c>
      <c r="CT9" s="139">
        <f>ROUNDUP('Building Typology'!K9*0.85*(0.11),-3)</f>
        <v>4000</v>
      </c>
      <c r="CU9" s="139">
        <f>CT9*0.024*CR9</f>
        <v>67.199999999999989</v>
      </c>
      <c r="CV9" s="146">
        <f>CU9/'Building Typology'!AM9</f>
        <v>0.16891478164808463</v>
      </c>
      <c r="CW9" s="139">
        <f>CU9/CR9</f>
        <v>95.999999999999986</v>
      </c>
      <c r="CX9" s="147">
        <f>CW9/'Building Typology'!AM9</f>
        <v>0.24130683092583519</v>
      </c>
      <c r="CY9" s="135"/>
      <c r="CZ9" s="152">
        <f>SUM(BN9,BY9,CJ9)</f>
        <v>601.76167090918796</v>
      </c>
      <c r="DA9" s="152">
        <f>CZ9-AB9</f>
        <v>-1537.4727267911317</v>
      </c>
      <c r="DB9" s="135"/>
    </row>
    <row r="10" spans="1:106" x14ac:dyDescent="0.3">
      <c r="A10" s="44" t="str">
        <f>IF('Building Typology'!A10=0," ",'Building Typology'!A10)</f>
        <v xml:space="preserve"> </v>
      </c>
      <c r="B10" s="135"/>
      <c r="C10" s="153"/>
      <c r="D10" s="153"/>
      <c r="E10" s="154"/>
      <c r="F10" s="154"/>
      <c r="G10" s="232"/>
      <c r="H10" s="154"/>
      <c r="I10" s="45"/>
      <c r="J10" s="45"/>
      <c r="K10" s="45"/>
      <c r="L10" s="45"/>
      <c r="M10" s="45"/>
      <c r="N10" s="45"/>
      <c r="O10" s="135"/>
      <c r="P10" s="135"/>
      <c r="Q10" s="155"/>
      <c r="R10" s="155"/>
      <c r="S10" s="135"/>
      <c r="T10" s="217"/>
      <c r="U10" s="155"/>
      <c r="V10" s="155"/>
      <c r="W10" s="135"/>
      <c r="X10" s="135"/>
      <c r="Y10" s="155"/>
      <c r="Z10" s="155"/>
      <c r="AA10" s="135"/>
      <c r="AB10" s="155"/>
      <c r="AC10" s="135"/>
      <c r="AD10" s="217"/>
      <c r="AE10" s="161"/>
      <c r="AF10" s="162"/>
      <c r="AG10" s="158"/>
      <c r="AH10" s="158"/>
      <c r="AI10" s="159"/>
      <c r="AJ10" s="159"/>
      <c r="AK10" s="160"/>
      <c r="AL10" s="159"/>
      <c r="AM10" s="160"/>
      <c r="AN10" s="135"/>
      <c r="AO10" s="156"/>
      <c r="AP10" s="161"/>
      <c r="AQ10" s="162"/>
      <c r="AR10" s="158"/>
      <c r="AS10" s="158"/>
      <c r="AT10" s="159"/>
      <c r="AU10" s="158"/>
      <c r="AV10" s="160"/>
      <c r="AW10" s="227"/>
      <c r="AX10" s="160"/>
      <c r="AY10" s="135"/>
      <c r="AZ10" s="156"/>
      <c r="BA10" s="161"/>
      <c r="BB10" s="162"/>
      <c r="BC10" s="158"/>
      <c r="BD10" s="158"/>
      <c r="BE10" s="159"/>
      <c r="BF10" s="159"/>
      <c r="BG10" s="160"/>
      <c r="BH10" s="159"/>
      <c r="BI10" s="160"/>
      <c r="BJ10" s="135"/>
      <c r="BK10" s="163"/>
      <c r="BL10" s="161"/>
      <c r="BM10" s="162"/>
      <c r="BN10" s="155"/>
      <c r="BO10" s="155"/>
      <c r="BP10" s="164"/>
      <c r="BQ10" s="164"/>
      <c r="BR10" s="165"/>
      <c r="BS10" s="166"/>
      <c r="BT10" s="165"/>
      <c r="BU10" s="135"/>
      <c r="BV10" s="163"/>
      <c r="BW10" s="161"/>
      <c r="BX10" s="162"/>
      <c r="BY10" s="155"/>
      <c r="BZ10" s="155"/>
      <c r="CA10" s="164"/>
      <c r="CB10" s="164"/>
      <c r="CC10" s="165"/>
      <c r="CD10" s="166"/>
      <c r="CE10" s="165"/>
      <c r="CF10" s="135"/>
      <c r="CG10" s="163"/>
      <c r="CH10" s="161"/>
      <c r="CI10" s="168"/>
      <c r="CJ10" s="155"/>
      <c r="CK10" s="155"/>
      <c r="CL10" s="164"/>
      <c r="CM10" s="164"/>
      <c r="CN10" s="165"/>
      <c r="CO10" s="166"/>
      <c r="CP10" s="165"/>
      <c r="CQ10" s="135"/>
      <c r="CR10" s="160"/>
      <c r="CS10" s="169"/>
      <c r="CT10" s="155"/>
      <c r="CU10" s="155"/>
      <c r="CV10" s="164"/>
      <c r="CW10" s="155"/>
      <c r="CX10" s="165"/>
      <c r="CY10" s="135"/>
      <c r="CZ10" s="170"/>
      <c r="DA10" s="170"/>
      <c r="DB10" s="135"/>
    </row>
    <row r="11" spans="1:106" ht="16.5" x14ac:dyDescent="0.3">
      <c r="A11" s="98" t="str">
        <f>IF('Building Typology'!A11=0," ",'Building Typology'!A11)</f>
        <v>RETAIL &amp; HOSPITALITY</v>
      </c>
      <c r="B11" s="129"/>
      <c r="C11" s="171"/>
      <c r="D11" s="171"/>
      <c r="E11" s="172"/>
      <c r="F11" s="172"/>
      <c r="G11" s="233"/>
      <c r="H11" s="172"/>
      <c r="I11" s="72"/>
      <c r="J11" s="72"/>
      <c r="K11" s="72"/>
      <c r="L11" s="72"/>
      <c r="M11" s="72"/>
      <c r="N11" s="72"/>
      <c r="O11" s="129"/>
      <c r="P11" s="130"/>
      <c r="Q11" s="173"/>
      <c r="R11" s="173"/>
      <c r="S11" s="129"/>
      <c r="T11" s="218"/>
      <c r="U11" s="173"/>
      <c r="V11" s="173"/>
      <c r="W11" s="129"/>
      <c r="X11" s="130"/>
      <c r="Y11" s="173"/>
      <c r="Z11" s="173"/>
      <c r="AA11" s="129"/>
      <c r="AB11" s="173"/>
      <c r="AC11" s="129"/>
      <c r="AD11" s="218"/>
      <c r="AE11" s="178"/>
      <c r="AF11" s="179"/>
      <c r="AG11" s="175"/>
      <c r="AH11" s="175"/>
      <c r="AI11" s="176"/>
      <c r="AJ11" s="176"/>
      <c r="AK11" s="177"/>
      <c r="AL11" s="176"/>
      <c r="AM11" s="177"/>
      <c r="AN11" s="129"/>
      <c r="AO11" s="132"/>
      <c r="AP11" s="178"/>
      <c r="AQ11" s="179"/>
      <c r="AR11" s="175"/>
      <c r="AS11" s="175"/>
      <c r="AT11" s="176"/>
      <c r="AU11" s="175"/>
      <c r="AV11" s="177"/>
      <c r="AW11" s="228"/>
      <c r="AX11" s="177"/>
      <c r="AY11" s="129"/>
      <c r="AZ11" s="132"/>
      <c r="BA11" s="178"/>
      <c r="BB11" s="179"/>
      <c r="BC11" s="175"/>
      <c r="BD11" s="175"/>
      <c r="BE11" s="176"/>
      <c r="BF11" s="176"/>
      <c r="BG11" s="177"/>
      <c r="BH11" s="176"/>
      <c r="BI11" s="177"/>
      <c r="BJ11" s="129"/>
      <c r="BK11" s="180"/>
      <c r="BL11" s="178"/>
      <c r="BM11" s="179"/>
      <c r="BN11" s="173"/>
      <c r="BO11" s="173"/>
      <c r="BP11" s="181"/>
      <c r="BQ11" s="181"/>
      <c r="BR11" s="133"/>
      <c r="BS11" s="131"/>
      <c r="BT11" s="133"/>
      <c r="BU11" s="129"/>
      <c r="BV11" s="180"/>
      <c r="BW11" s="178"/>
      <c r="BX11" s="179"/>
      <c r="BY11" s="173"/>
      <c r="BZ11" s="173"/>
      <c r="CA11" s="181"/>
      <c r="CB11" s="181"/>
      <c r="CC11" s="133"/>
      <c r="CD11" s="131"/>
      <c r="CE11" s="133"/>
      <c r="CF11" s="129"/>
      <c r="CG11" s="180"/>
      <c r="CH11" s="178"/>
      <c r="CI11" s="182"/>
      <c r="CJ11" s="173"/>
      <c r="CK11" s="173"/>
      <c r="CL11" s="181"/>
      <c r="CM11" s="181"/>
      <c r="CN11" s="133"/>
      <c r="CO11" s="131"/>
      <c r="CP11" s="133"/>
      <c r="CQ11" s="129"/>
      <c r="CR11" s="177"/>
      <c r="CS11" s="183"/>
      <c r="CT11" s="173"/>
      <c r="CU11" s="173"/>
      <c r="CV11" s="181"/>
      <c r="CW11" s="173"/>
      <c r="CX11" s="133"/>
      <c r="CY11" s="129"/>
      <c r="CZ11" s="184"/>
      <c r="DA11" s="184"/>
      <c r="DB11" s="129"/>
    </row>
    <row r="12" spans="1:106" x14ac:dyDescent="0.3">
      <c r="A12" s="46" t="str">
        <f>IF('Building Typology'!A12=0," ",'Building Typology'!A12)</f>
        <v>Restaurant - gas MAU + RTU</v>
      </c>
      <c r="B12" s="135"/>
      <c r="C12" s="136">
        <v>4</v>
      </c>
      <c r="D12" s="136">
        <v>0</v>
      </c>
      <c r="E12" s="137">
        <v>0.5</v>
      </c>
      <c r="F12" s="137">
        <v>0.5</v>
      </c>
      <c r="G12" s="231">
        <v>1</v>
      </c>
      <c r="H12" s="72">
        <f>(SQRT('Building Typology'!H12/G12)*2)*(1+G12)*(1-F12)</f>
        <v>23.664319132398465</v>
      </c>
      <c r="I12" s="72">
        <f>H12*(C12*'Building Typology'!I12)</f>
        <v>94.657276529593858</v>
      </c>
      <c r="J12" s="72">
        <f>I12-K12</f>
        <v>47.328638264796929</v>
      </c>
      <c r="K12" s="72">
        <f>I12*E12</f>
        <v>47.328638264796929</v>
      </c>
      <c r="L12" s="72">
        <f>H12*D12</f>
        <v>0</v>
      </c>
      <c r="M12" s="72">
        <f>'Building Typology'!H12</f>
        <v>140</v>
      </c>
      <c r="N12" s="72">
        <f>'Building Typology'!H12</f>
        <v>140</v>
      </c>
      <c r="O12" s="135"/>
      <c r="P12" s="185">
        <v>0.36</v>
      </c>
      <c r="Q12" s="139">
        <f>IF(P12=0,0,((J12)*'Global Inputs'!$C$36*(24))/P12/277778)</f>
        <v>48.84311561477795</v>
      </c>
      <c r="R12" s="139">
        <f>IF(P12=0,0,(J12*42/P12)/1000)</f>
        <v>5.521674464226308</v>
      </c>
      <c r="S12" s="135"/>
      <c r="T12" s="219">
        <v>0.16</v>
      </c>
      <c r="U12" s="139">
        <f>IF(T12=0,0,((K12)*'Global Inputs'!$C$36*(24))/T12/277778)</f>
        <v>109.89701013325038</v>
      </c>
      <c r="V12" s="139">
        <f>IF(T12=0,0,(K12*42/T12)/1000)</f>
        <v>12.423767544509193</v>
      </c>
      <c r="W12" s="135"/>
      <c r="X12" s="185">
        <v>1.2326999999999999</v>
      </c>
      <c r="Y12" s="139">
        <f>IF(X12=0,0,((M12)*'Global Inputs'!$C$36*(24))/X12/277778)</f>
        <v>42.194174081117296</v>
      </c>
      <c r="Z12" s="139">
        <f>IF(X12=0,0,(M12*42/X12)/1000)</f>
        <v>4.7700170357751288</v>
      </c>
      <c r="AA12" s="135"/>
      <c r="AB12" s="139">
        <f t="shared" ref="AB12:AB15" si="14">Y12+Q12+U12</f>
        <v>200.93429982914563</v>
      </c>
      <c r="AC12" s="135"/>
      <c r="AD12" s="219">
        <v>3.1</v>
      </c>
      <c r="AE12" s="143">
        <v>51</v>
      </c>
      <c r="AF12" s="144">
        <f>AE12*J12*'Global Inputs'!$C$5</f>
        <v>25981.477200340829</v>
      </c>
      <c r="AG12" s="140">
        <f>IF(AD12=0,0,((J12)*'Global Inputs'!$C$36*(24))/AD12/277777.777777777)</f>
        <v>5.6721082864959369</v>
      </c>
      <c r="AH12" s="140">
        <f>Q12-AG12</f>
        <v>43.171007328282016</v>
      </c>
      <c r="AI12" s="141">
        <f t="shared" ref="AI12:AI15" si="15">IF(AD12=0,0,(J12*42/AD12)/1000)</f>
        <v>0.64122671197466807</v>
      </c>
      <c r="AJ12" s="141">
        <f>R12-AI12</f>
        <v>4.8804477522516398</v>
      </c>
      <c r="AK12" s="142">
        <f>AJ12/125</f>
        <v>3.9043582018013119E-2</v>
      </c>
      <c r="AL12" s="141">
        <f>AJ12/4.2</f>
        <v>1.1620113695837238</v>
      </c>
      <c r="AM12" s="142">
        <f>AL12/80.66</f>
        <v>1.4406290225436694E-2</v>
      </c>
      <c r="AN12" s="135"/>
      <c r="AO12" s="186">
        <v>0.63</v>
      </c>
      <c r="AP12" s="143">
        <f>625/10.7639</f>
        <v>58.064456191529096</v>
      </c>
      <c r="AQ12" s="144">
        <f>AP12*K12*'Global Inputs'!$C$5</f>
        <v>29580.398915498081</v>
      </c>
      <c r="AR12" s="140">
        <f>((K12)*'Global Inputs'!$C$36*(24))/AO12/277777.777777777</f>
        <v>27.910374108154613</v>
      </c>
      <c r="AS12" s="140">
        <f>U12-AR12</f>
        <v>81.986636025095763</v>
      </c>
      <c r="AT12" s="141">
        <f>(K12*42/AO12)/1000</f>
        <v>3.1552425509864621</v>
      </c>
      <c r="AU12" s="140">
        <f>V12-AT12</f>
        <v>9.2685249935227318</v>
      </c>
      <c r="AV12" s="142">
        <f>AU12/125</f>
        <v>7.414819994818185E-2</v>
      </c>
      <c r="AW12" s="226">
        <f>AU12/4.2</f>
        <v>2.2067916651244599</v>
      </c>
      <c r="AX12" s="142">
        <f>AW12/80.66</f>
        <v>2.7359182557952642E-2</v>
      </c>
      <c r="AY12" s="135"/>
      <c r="AZ12" s="186">
        <v>1.2326999999999999</v>
      </c>
      <c r="BA12" s="187">
        <v>24.619329425208335</v>
      </c>
      <c r="BB12" s="144">
        <f>M12*BA12*'Global Inputs'!$C$5</f>
        <v>37099.999999999993</v>
      </c>
      <c r="BC12" s="140">
        <f>((M12)*(4300)*(24))/AZ12/277777.777777777</f>
        <v>42.194207836456677</v>
      </c>
      <c r="BD12" s="140">
        <f>Y12-BC12</f>
        <v>-3.3755339380547866E-5</v>
      </c>
      <c r="BE12" s="141">
        <f>(M12*42/AZ12)/1000</f>
        <v>4.7700170357751288</v>
      </c>
      <c r="BF12" s="141">
        <f>Z12-BE12</f>
        <v>0</v>
      </c>
      <c r="BG12" s="142">
        <f>BF12/125</f>
        <v>0</v>
      </c>
      <c r="BH12" s="141">
        <f>BF12/4.2</f>
        <v>0</v>
      </c>
      <c r="BI12" s="142">
        <f>BH12/80.66</f>
        <v>0</v>
      </c>
      <c r="BJ12" s="135"/>
      <c r="BK12" s="188">
        <v>3.1</v>
      </c>
      <c r="BL12" s="187">
        <v>30.19352225244949</v>
      </c>
      <c r="BM12" s="144">
        <f>J12*BL12*'Global Inputs'!$C$5</f>
        <v>15381.809999999998</v>
      </c>
      <c r="BN12" s="139">
        <f>IF(BK12=0,0,((J12)*('Global Inputs'!$C$36)*(24))/BK12/277777.777777777)</f>
        <v>5.6721082864959369</v>
      </c>
      <c r="BO12" s="139">
        <f>Q12-BN12</f>
        <v>43.171007328282016</v>
      </c>
      <c r="BP12" s="146">
        <f>(J12*42/BK12)/1000</f>
        <v>0.64122671197466807</v>
      </c>
      <c r="BQ12" s="146">
        <f>R12-BP12</f>
        <v>4.8804477522516398</v>
      </c>
      <c r="BR12" s="147">
        <f>BQ12/125</f>
        <v>3.9043582018013119E-2</v>
      </c>
      <c r="BS12" s="148">
        <f>BQ12/4.2</f>
        <v>1.1620113695837238</v>
      </c>
      <c r="BT12" s="147">
        <f>BS12/80.66</f>
        <v>1.4406290225436694E-2</v>
      </c>
      <c r="BU12" s="135"/>
      <c r="BV12" s="188">
        <v>0.63</v>
      </c>
      <c r="BW12" s="143">
        <f>925/10.7639</f>
        <v>85.935395163463056</v>
      </c>
      <c r="BX12" s="144">
        <f>K12*BW12*'Global Inputs'!$C$5</f>
        <v>43778.990394937158</v>
      </c>
      <c r="BY12" s="139">
        <f>((K12)*('Global Inputs'!$C$36)*(24))/BV12/277777.777777777</f>
        <v>27.910374108154613</v>
      </c>
      <c r="BZ12" s="139">
        <f>U12-BY12</f>
        <v>81.986636025095763</v>
      </c>
      <c r="CA12" s="146">
        <f>(K12*42/BV12)/1000</f>
        <v>3.1552425509864621</v>
      </c>
      <c r="CB12" s="146">
        <f>V12-CA12</f>
        <v>9.2685249935227318</v>
      </c>
      <c r="CC12" s="147">
        <f>CB12/125</f>
        <v>7.414819994818185E-2</v>
      </c>
      <c r="CD12" s="148">
        <f>CB12/4.2</f>
        <v>2.2067916651244599</v>
      </c>
      <c r="CE12" s="147">
        <f>CD12/80.66</f>
        <v>2.7359182557952642E-2</v>
      </c>
      <c r="CF12" s="135"/>
      <c r="CG12" s="188">
        <v>5.8</v>
      </c>
      <c r="CH12" s="187">
        <v>69.67734742983491</v>
      </c>
      <c r="CI12" s="149">
        <f>M12*CH12*'Global Inputs'!$C$5</f>
        <v>105000</v>
      </c>
      <c r="CJ12" s="139">
        <f>((M12)*('Global Inputs'!$C$36)*(24))/CG12/277777.777777777</f>
        <v>8.9677241379310608</v>
      </c>
      <c r="CK12" s="139">
        <f>Y12-CJ12</f>
        <v>33.226449943186239</v>
      </c>
      <c r="CL12" s="146">
        <f>(M12*42/CG12)/1000</f>
        <v>1.0137931034482759</v>
      </c>
      <c r="CM12" s="146">
        <f>Z12-CL12</f>
        <v>3.7562239323268529</v>
      </c>
      <c r="CN12" s="147">
        <f>CM12/125</f>
        <v>3.0049791458614823E-2</v>
      </c>
      <c r="CO12" s="148">
        <f>CM12/4.2</f>
        <v>0.89433903150639349</v>
      </c>
      <c r="CP12" s="147">
        <f>CO12/80.66</f>
        <v>1.1087763842132328E-2</v>
      </c>
      <c r="CQ12" s="135"/>
      <c r="CR12" s="190">
        <v>0.85</v>
      </c>
      <c r="CS12" s="191">
        <v>16900</v>
      </c>
      <c r="CT12" s="139">
        <f>'Building Typology'!K12*1</f>
        <v>1506.9459999999999</v>
      </c>
      <c r="CU12" s="139">
        <f>CT12*0.024*CR12</f>
        <v>30.741698399999997</v>
      </c>
      <c r="CV12" s="146">
        <f>CU12/'Building Typology'!AM12</f>
        <v>0.24703155352405509</v>
      </c>
      <c r="CW12" s="139">
        <f>CU12/CR12</f>
        <v>36.166703999999996</v>
      </c>
      <c r="CX12" s="147">
        <f>CW12/'Building Typology'!AM12</f>
        <v>0.29062535708712361</v>
      </c>
      <c r="CY12" s="135"/>
      <c r="CZ12" s="152">
        <f>SUM(BN12,BY12,CJ12)</f>
        <v>42.550206532581612</v>
      </c>
      <c r="DA12" s="152">
        <f>CZ12-AB12</f>
        <v>-158.384093296564</v>
      </c>
      <c r="DB12" s="135"/>
    </row>
    <row r="13" spans="1:106" ht="31.5" x14ac:dyDescent="0.3">
      <c r="A13" s="46" t="str">
        <f>IF('Building Typology'!A13=0," ",'Building Typology'!A13)</f>
        <v>High-rise hotel - gas boiler</v>
      </c>
      <c r="B13" s="135"/>
      <c r="C13" s="136">
        <v>3</v>
      </c>
      <c r="D13" s="136"/>
      <c r="E13" s="137">
        <v>0.4</v>
      </c>
      <c r="F13" s="137"/>
      <c r="G13" s="231">
        <v>1</v>
      </c>
      <c r="H13" s="72">
        <f>(SQRT('Building Typology'!H13/G13)*2)*(1+G13)*(1-F13)</f>
        <v>132.66499161421601</v>
      </c>
      <c r="I13" s="72">
        <f>H13*(C13*'Building Typology'!I13)</f>
        <v>7959.8994968529605</v>
      </c>
      <c r="J13" s="72">
        <f>I13-K13</f>
        <v>4775.9396981117761</v>
      </c>
      <c r="K13" s="72">
        <f>I13*E13</f>
        <v>3183.9597987411844</v>
      </c>
      <c r="L13" s="72">
        <f>H13*D13</f>
        <v>0</v>
      </c>
      <c r="M13" s="72">
        <f>'Building Typology'!H13</f>
        <v>1100</v>
      </c>
      <c r="N13" s="72">
        <f>'Building Typology'!H13</f>
        <v>1100</v>
      </c>
      <c r="O13" s="135"/>
      <c r="P13" s="138">
        <v>1.7</v>
      </c>
      <c r="Q13" s="139">
        <f>IF(P13=0,0,((J13)*'Global Inputs'!$C$36*(24))/P13/277778)</f>
        <v>1043.7386453870174</v>
      </c>
      <c r="R13" s="139">
        <f>IF(P13=0,0,(J13*42/P13)/1000)</f>
        <v>117.99380430629094</v>
      </c>
      <c r="S13" s="135"/>
      <c r="T13" s="219">
        <v>0.27</v>
      </c>
      <c r="U13" s="139">
        <f>IF(T13=0,0,((K13)*'Global Inputs'!$C$36*(24))/T13/277778)</f>
        <v>4381.1251781677265</v>
      </c>
      <c r="V13" s="139">
        <f>IF(T13=0,0,(K13*42/T13)/1000)</f>
        <v>495.28263535973969</v>
      </c>
      <c r="W13" s="135"/>
      <c r="X13" s="138">
        <v>1.2326999999999999</v>
      </c>
      <c r="Y13" s="139">
        <f>IF(X13=0,0,((M13)*'Global Inputs'!$C$36*(24))/X13/277778)</f>
        <v>331.5256534944931</v>
      </c>
      <c r="Z13" s="139">
        <f>IF(X13=0,0,(M13*42/X13)/1000)</f>
        <v>37.478705281090292</v>
      </c>
      <c r="AA13" s="135"/>
      <c r="AB13" s="139">
        <f t="shared" si="14"/>
        <v>5756.389477049237</v>
      </c>
      <c r="AC13" s="135"/>
      <c r="AD13" s="219">
        <v>5.7</v>
      </c>
      <c r="AE13" s="143">
        <v>51.096721448545601</v>
      </c>
      <c r="AF13" s="144">
        <f>AE13*J13*'Global Inputs'!$C$5</f>
        <v>2626766.8339614766</v>
      </c>
      <c r="AG13" s="140">
        <f>IF(AD13=0,0,((J13)*'Global Inputs'!$C$36*(24))/AD13/277777.777777777)</f>
        <v>311.29072221798106</v>
      </c>
      <c r="AH13" s="140">
        <f>Q13-AG13</f>
        <v>732.44792316903636</v>
      </c>
      <c r="AI13" s="141">
        <f t="shared" si="15"/>
        <v>35.191134617665718</v>
      </c>
      <c r="AJ13" s="141">
        <f>R13-AI13</f>
        <v>82.80266968862523</v>
      </c>
      <c r="AK13" s="142">
        <f>AJ13/2194</f>
        <v>3.7740505783329638E-2</v>
      </c>
      <c r="AL13" s="141">
        <f>AJ13/4.2</f>
        <v>19.714921354434576</v>
      </c>
      <c r="AM13" s="142">
        <f>AL13/1422.08</f>
        <v>1.386344042137895E-2</v>
      </c>
      <c r="AN13" s="135"/>
      <c r="AO13" s="97">
        <v>0.93</v>
      </c>
      <c r="AP13" s="143">
        <f>1600/10.7639</f>
        <v>148.64500785031447</v>
      </c>
      <c r="AQ13" s="144">
        <f>AP13*K13*'Global Inputs'!$C$5</f>
        <v>5094335.6779858945</v>
      </c>
      <c r="AR13" s="140">
        <f>((K13)*'Global Inputs'!$C$36*(24))/AO13/277777.777777777</f>
        <v>1271.9405854068043</v>
      </c>
      <c r="AS13" s="140">
        <f>U13-AR13</f>
        <v>3109.184592760922</v>
      </c>
      <c r="AT13" s="141">
        <f>(K13*42/AO13)/1000</f>
        <v>143.79173284637605</v>
      </c>
      <c r="AU13" s="140">
        <f>V13-AT13</f>
        <v>351.49090251336361</v>
      </c>
      <c r="AV13" s="142">
        <f>AU13/125</f>
        <v>2.811927220106909</v>
      </c>
      <c r="AW13" s="226">
        <f>AU13/4.2</f>
        <v>83.688310122229424</v>
      </c>
      <c r="AX13" s="142">
        <f>AW13/1422.08</f>
        <v>5.8849227977490315E-2</v>
      </c>
      <c r="AY13" s="135"/>
      <c r="AZ13" s="97">
        <v>1.2326999999999999</v>
      </c>
      <c r="BA13" s="143">
        <v>28.799970270998433</v>
      </c>
      <c r="BB13" s="144">
        <f>M13*BA13*'Global Inputs'!$C$5</f>
        <v>341000</v>
      </c>
      <c r="BC13" s="140">
        <f>((M13)*(4300)*(24))/AZ13/277777.777777777</f>
        <v>331.52591871501681</v>
      </c>
      <c r="BD13" s="140">
        <f>Y13-BC13</f>
        <v>-2.6522052371547034E-4</v>
      </c>
      <c r="BE13" s="141">
        <f>(M13*42/AZ13)/1000</f>
        <v>37.478705281090292</v>
      </c>
      <c r="BF13" s="141">
        <f>Z13-BE13</f>
        <v>0</v>
      </c>
      <c r="BG13" s="142">
        <f>BF13/125</f>
        <v>0</v>
      </c>
      <c r="BH13" s="141">
        <f>BF13/4.2</f>
        <v>0</v>
      </c>
      <c r="BI13" s="142">
        <f>BH13/1422.08</f>
        <v>0</v>
      </c>
      <c r="BJ13" s="135"/>
      <c r="BK13" s="145">
        <v>5.7</v>
      </c>
      <c r="BL13" s="143">
        <f>325/10.7639</f>
        <v>30.19351721959513</v>
      </c>
      <c r="BM13" s="144">
        <f>J13*BL13*'Global Inputs'!$C$5</f>
        <v>1552180.4018863274</v>
      </c>
      <c r="BN13" s="139">
        <f>IF(BK13=0,0,((J13)*('Global Inputs'!$C$36)*(24))/BK13/277777.777777777)</f>
        <v>311.29072221798106</v>
      </c>
      <c r="BO13" s="139">
        <f>Q13-BN13</f>
        <v>732.44792316903636</v>
      </c>
      <c r="BP13" s="146">
        <f>(J13*42/BK13)/1000</f>
        <v>35.191134617665718</v>
      </c>
      <c r="BQ13" s="146">
        <f>R13-BP13</f>
        <v>82.80266968862523</v>
      </c>
      <c r="BR13" s="147">
        <f>BQ13/2194</f>
        <v>3.7740505783329638E-2</v>
      </c>
      <c r="BS13" s="148">
        <f>BQ13/4.2</f>
        <v>19.714921354434576</v>
      </c>
      <c r="BT13" s="147">
        <f>BS13/1422.08</f>
        <v>1.386344042137895E-2</v>
      </c>
      <c r="BU13" s="135"/>
      <c r="BV13" s="145">
        <v>0.93</v>
      </c>
      <c r="BW13" s="143">
        <f>2135.9/10.7639</f>
        <v>198.43179516717919</v>
      </c>
      <c r="BX13" s="144">
        <f>K13*BW13*'Global Inputs'!$C$5</f>
        <v>6800619.7341312952</v>
      </c>
      <c r="BY13" s="139">
        <f>((K13)*('Global Inputs'!$C$36)*(24))/BV13/277777.777777777</f>
        <v>1271.9405854068043</v>
      </c>
      <c r="BZ13" s="139">
        <f>U13-BY13</f>
        <v>3109.184592760922</v>
      </c>
      <c r="CA13" s="146">
        <f>(K13*42/BV13)/1000</f>
        <v>143.79173284637605</v>
      </c>
      <c r="CB13" s="146">
        <f>V13-CA13</f>
        <v>351.49090251336361</v>
      </c>
      <c r="CC13" s="147">
        <f>CB13/125</f>
        <v>2.811927220106909</v>
      </c>
      <c r="CD13" s="148">
        <f>CB13/4.2</f>
        <v>83.688310122229424</v>
      </c>
      <c r="CE13" s="147">
        <f>CD13/1422.08</f>
        <v>5.8849227977490315E-2</v>
      </c>
      <c r="CF13" s="135"/>
      <c r="CG13" s="188">
        <v>5.8</v>
      </c>
      <c r="CH13" s="143">
        <v>78.921208855526345</v>
      </c>
      <c r="CI13" s="149">
        <f>M13*CH13*'Global Inputs'!$C$5</f>
        <v>934450</v>
      </c>
      <c r="CJ13" s="139">
        <f>((M13)*('Global Inputs'!$C$36)*(24))/CG13/277777.777777777</f>
        <v>70.460689655172615</v>
      </c>
      <c r="CK13" s="139">
        <f>Y13-CJ13</f>
        <v>261.06496383932051</v>
      </c>
      <c r="CL13" s="146">
        <f>(M13*42/CG13)/1000</f>
        <v>7.9655172413793105</v>
      </c>
      <c r="CM13" s="146">
        <f>Z13-CL13</f>
        <v>29.513188039710982</v>
      </c>
      <c r="CN13" s="147">
        <f>CM13/125</f>
        <v>0.23610550431768787</v>
      </c>
      <c r="CO13" s="148">
        <f>CM13/4.2</f>
        <v>7.0269495332645198</v>
      </c>
      <c r="CP13" s="147">
        <f>CO13/1422.08</f>
        <v>4.9413180223788532E-3</v>
      </c>
      <c r="CQ13" s="135"/>
      <c r="CR13" s="150">
        <v>0.82</v>
      </c>
      <c r="CS13" s="151">
        <v>627640</v>
      </c>
      <c r="CT13" s="139" t="s">
        <v>292</v>
      </c>
      <c r="CU13" s="139">
        <f>'Building Typology'!L13*50*0.024*CR13</f>
        <v>431.51279111111097</v>
      </c>
      <c r="CV13" s="146">
        <f>CU13/'Building Typology'!AM13</f>
        <v>0.19687688871332854</v>
      </c>
      <c r="CW13" s="139">
        <f>CU13/CR13</f>
        <v>526.235111111111</v>
      </c>
      <c r="CX13" s="147">
        <f>CW13/'Building Typology'!AM13</f>
        <v>0.24009376672357141</v>
      </c>
      <c r="CY13" s="135"/>
      <c r="CZ13" s="152">
        <f>SUM(BN13,BY13,CJ13)</f>
        <v>1653.6919972799581</v>
      </c>
      <c r="DA13" s="152">
        <f>CZ13-AB13</f>
        <v>-4102.6974797692792</v>
      </c>
      <c r="DB13" s="135"/>
    </row>
    <row r="14" spans="1:106" ht="31.5" x14ac:dyDescent="0.3">
      <c r="A14" s="46" t="str">
        <f>IF('Building Typology'!A14=0," ",'Building Typology'!A14)</f>
        <v>High-rise hotel - electric</v>
      </c>
      <c r="B14" s="135"/>
      <c r="C14" s="136">
        <v>3</v>
      </c>
      <c r="D14" s="136"/>
      <c r="E14" s="137">
        <v>0.4</v>
      </c>
      <c r="F14" s="137"/>
      <c r="G14" s="231">
        <v>1</v>
      </c>
      <c r="H14" s="72">
        <f>(SQRT('Building Typology'!H14/G14)*2)*(1+G14)*(1-F14)</f>
        <v>132.66499161421601</v>
      </c>
      <c r="I14" s="72">
        <f>H14*(C14*'Building Typology'!I14)</f>
        <v>7959.8994968529605</v>
      </c>
      <c r="J14" s="72">
        <f>I14-K14</f>
        <v>4775.9396981117761</v>
      </c>
      <c r="K14" s="72">
        <f>I14*E14</f>
        <v>3183.9597987411844</v>
      </c>
      <c r="L14" s="72">
        <f>H14*D14</f>
        <v>0</v>
      </c>
      <c r="M14" s="72">
        <f>'Building Typology'!H14</f>
        <v>1100</v>
      </c>
      <c r="N14" s="72">
        <f>'Building Typology'!H14</f>
        <v>1100</v>
      </c>
      <c r="O14" s="135"/>
      <c r="P14" s="138">
        <v>1.7</v>
      </c>
      <c r="Q14" s="139">
        <f>IF(P14=0,0,((J14)*'Global Inputs'!$C$36*(24))/P14/277778)</f>
        <v>1043.7386453870174</v>
      </c>
      <c r="R14" s="139">
        <f>IF(P14=0,0,(J14*42/P14)/1000)</f>
        <v>117.99380430629094</v>
      </c>
      <c r="S14" s="135"/>
      <c r="T14" s="219">
        <v>0.27</v>
      </c>
      <c r="U14" s="139">
        <f>IF(T14=0,0,((K14)*'Global Inputs'!$C$36*(24))/T14/277778)</f>
        <v>4381.1251781677265</v>
      </c>
      <c r="V14" s="139">
        <f>IF(T14=0,0,(K14*42/T14)/1000)</f>
        <v>495.28263535973969</v>
      </c>
      <c r="W14" s="135"/>
      <c r="X14" s="138">
        <v>1.2326999999999999</v>
      </c>
      <c r="Y14" s="139">
        <f>IF(X14=0,0,((M14)*'Global Inputs'!$C$36*(24))/X14/277778)</f>
        <v>331.5256534944931</v>
      </c>
      <c r="Z14" s="139">
        <f>IF(X14=0,0,(M14*42/X14)/1000)</f>
        <v>37.478705281090292</v>
      </c>
      <c r="AA14" s="135"/>
      <c r="AB14" s="139">
        <f t="shared" si="14"/>
        <v>5756.389477049237</v>
      </c>
      <c r="AC14" s="135"/>
      <c r="AD14" s="219">
        <v>5.7</v>
      </c>
      <c r="AE14" s="143">
        <v>51.096721448545601</v>
      </c>
      <c r="AF14" s="144">
        <f>AE14*J14*'Global Inputs'!$C$5</f>
        <v>2626766.8339614766</v>
      </c>
      <c r="AG14" s="140">
        <f>IF(AD14=0,0,((J14)*'Global Inputs'!$C$36*(24))/AD14/277777.777777777)</f>
        <v>311.29072221798106</v>
      </c>
      <c r="AH14" s="140">
        <f>Q14-AG14</f>
        <v>732.44792316903636</v>
      </c>
      <c r="AI14" s="141">
        <f t="shared" si="15"/>
        <v>35.191134617665718</v>
      </c>
      <c r="AJ14" s="141">
        <f>R14-AI14</f>
        <v>82.80266968862523</v>
      </c>
      <c r="AK14" s="142">
        <f>AJ14/2194</f>
        <v>3.7740505783329638E-2</v>
      </c>
      <c r="AL14" s="141">
        <f>AJ14/4.2</f>
        <v>19.714921354434576</v>
      </c>
      <c r="AM14" s="142">
        <f>AL14/1422.08</f>
        <v>1.386344042137895E-2</v>
      </c>
      <c r="AN14" s="135"/>
      <c r="AO14" s="97">
        <v>0.93</v>
      </c>
      <c r="AP14" s="143">
        <f>1600/10.7639</f>
        <v>148.64500785031447</v>
      </c>
      <c r="AQ14" s="144">
        <f>AP14*K14*'Global Inputs'!$C$5</f>
        <v>5094335.6779858945</v>
      </c>
      <c r="AR14" s="140">
        <f>((K14)*'Global Inputs'!$C$36*(24))/AO14/277777.777777777</f>
        <v>1271.9405854068043</v>
      </c>
      <c r="AS14" s="140">
        <f>U14-AR14</f>
        <v>3109.184592760922</v>
      </c>
      <c r="AT14" s="141">
        <f>(K14*42/AO14)/1000</f>
        <v>143.79173284637605</v>
      </c>
      <c r="AU14" s="140">
        <f>V14-AT14</f>
        <v>351.49090251336361</v>
      </c>
      <c r="AV14" s="142">
        <f>AU14/125</f>
        <v>2.811927220106909</v>
      </c>
      <c r="AW14" s="226">
        <f>AU14/4.2</f>
        <v>83.688310122229424</v>
      </c>
      <c r="AX14" s="142">
        <f>AW14/1422.08</f>
        <v>5.8849227977490315E-2</v>
      </c>
      <c r="AY14" s="135"/>
      <c r="AZ14" s="97">
        <v>1.2326999999999999</v>
      </c>
      <c r="BA14" s="143">
        <v>28.799970270998433</v>
      </c>
      <c r="BB14" s="144">
        <f>M14*BA14*'Global Inputs'!$C$5</f>
        <v>341000</v>
      </c>
      <c r="BC14" s="140">
        <f>((M14)*(4300)*(24))/AZ14/277777.777777777</f>
        <v>331.52591871501681</v>
      </c>
      <c r="BD14" s="140">
        <f>Y14-BC14</f>
        <v>-2.6522052371547034E-4</v>
      </c>
      <c r="BE14" s="141">
        <f>(M14*42/AZ14)/1000</f>
        <v>37.478705281090292</v>
      </c>
      <c r="BF14" s="141">
        <f>Z14-BE14</f>
        <v>0</v>
      </c>
      <c r="BG14" s="142">
        <f>BF14/125</f>
        <v>0</v>
      </c>
      <c r="BH14" s="141">
        <f>BF14/4.2</f>
        <v>0</v>
      </c>
      <c r="BI14" s="142">
        <f>BH14/1422.08</f>
        <v>0</v>
      </c>
      <c r="BJ14" s="135"/>
      <c r="BK14" s="145">
        <v>5.7</v>
      </c>
      <c r="BL14" s="143">
        <f>325/10.7639</f>
        <v>30.19351721959513</v>
      </c>
      <c r="BM14" s="144">
        <f>J14*BL14*'Global Inputs'!$C$5</f>
        <v>1552180.4018863274</v>
      </c>
      <c r="BN14" s="139">
        <f>IF(BK14=0,0,((J14)*('Global Inputs'!$C$36)*(24))/BK14/277777.777777777)</f>
        <v>311.29072221798106</v>
      </c>
      <c r="BO14" s="139">
        <f>Q14-BN14</f>
        <v>732.44792316903636</v>
      </c>
      <c r="BP14" s="146">
        <f>(J14*42/BK14)/1000</f>
        <v>35.191134617665718</v>
      </c>
      <c r="BQ14" s="146">
        <f>R14-BP14</f>
        <v>82.80266968862523</v>
      </c>
      <c r="BR14" s="147">
        <f>BQ14/2194</f>
        <v>3.7740505783329638E-2</v>
      </c>
      <c r="BS14" s="148">
        <f>BQ14/4.2</f>
        <v>19.714921354434576</v>
      </c>
      <c r="BT14" s="147">
        <f>BS14/1422.08</f>
        <v>1.386344042137895E-2</v>
      </c>
      <c r="BU14" s="135"/>
      <c r="BV14" s="145">
        <v>0.93</v>
      </c>
      <c r="BW14" s="143">
        <f>2135.9/10.7639</f>
        <v>198.43179516717919</v>
      </c>
      <c r="BX14" s="144">
        <f>K14*BW14*'Global Inputs'!$C$5</f>
        <v>6800619.7341312952</v>
      </c>
      <c r="BY14" s="139">
        <f>((K14)*('Global Inputs'!$C$36)*(24))/BV14/277777.777777777</f>
        <v>1271.9405854068043</v>
      </c>
      <c r="BZ14" s="139">
        <f>U14-BY14</f>
        <v>3109.184592760922</v>
      </c>
      <c r="CA14" s="146">
        <f>(K14*42/BV14)/1000</f>
        <v>143.79173284637605</v>
      </c>
      <c r="CB14" s="146">
        <f>V14-CA14</f>
        <v>351.49090251336361</v>
      </c>
      <c r="CC14" s="147">
        <f>CB14/125</f>
        <v>2.811927220106909</v>
      </c>
      <c r="CD14" s="148">
        <f>CB14/4.2</f>
        <v>83.688310122229424</v>
      </c>
      <c r="CE14" s="147">
        <f>CD14/1422.08</f>
        <v>5.8849227977490315E-2</v>
      </c>
      <c r="CF14" s="135"/>
      <c r="CG14" s="188">
        <v>5.8</v>
      </c>
      <c r="CH14" s="143">
        <v>78.921208855526345</v>
      </c>
      <c r="CI14" s="149">
        <f>M14*CH14*'Global Inputs'!$C$5</f>
        <v>934450</v>
      </c>
      <c r="CJ14" s="139">
        <f>((M14)*('Global Inputs'!$C$36)*(24))/CG14/277777.777777777</f>
        <v>70.460689655172615</v>
      </c>
      <c r="CK14" s="139">
        <f>Y14-CJ14</f>
        <v>261.06496383932051</v>
      </c>
      <c r="CL14" s="146">
        <f>(M14*42/CG14)/1000</f>
        <v>7.9655172413793105</v>
      </c>
      <c r="CM14" s="146">
        <f>Z14-CL14</f>
        <v>29.513188039710982</v>
      </c>
      <c r="CN14" s="147">
        <f>CM14/125</f>
        <v>0.23610550431768787</v>
      </c>
      <c r="CO14" s="148">
        <f>CM14/4.2</f>
        <v>7.0269495332645198</v>
      </c>
      <c r="CP14" s="147">
        <f>CO14/1422.08</f>
        <v>4.9413180223788532E-3</v>
      </c>
      <c r="CQ14" s="135"/>
      <c r="CR14" s="150">
        <v>0.82</v>
      </c>
      <c r="CS14" s="151">
        <v>1171300</v>
      </c>
      <c r="CT14" s="139" t="s">
        <v>292</v>
      </c>
      <c r="CU14" s="139">
        <f>'Building Typology'!L14*50*0.024*CR14</f>
        <v>431.51279111111097</v>
      </c>
      <c r="CV14" s="146">
        <f>CU14/'Building Typology'!AM14</f>
        <v>0.19687688871332854</v>
      </c>
      <c r="CW14" s="139">
        <f>CU14/CR14</f>
        <v>526.235111111111</v>
      </c>
      <c r="CX14" s="147">
        <f>CW14/'Building Typology'!AM14</f>
        <v>0.24009376672357141</v>
      </c>
      <c r="CY14" s="135"/>
      <c r="CZ14" s="152">
        <f>SUM(BN14,BY14,CJ14)</f>
        <v>1653.6919972799581</v>
      </c>
      <c r="DA14" s="152">
        <f>CZ14-AB14</f>
        <v>-4102.6974797692792</v>
      </c>
      <c r="DB14" s="135"/>
    </row>
    <row r="15" spans="1:106" x14ac:dyDescent="0.3">
      <c r="A15" s="46" t="str">
        <f>IF('Building Typology'!A15=0," ",'Building Typology'!A15)</f>
        <v>Standalone retail</v>
      </c>
      <c r="B15" s="135"/>
      <c r="C15" s="136">
        <v>4</v>
      </c>
      <c r="D15" s="136"/>
      <c r="E15" s="137">
        <v>0.5</v>
      </c>
      <c r="F15" s="137">
        <v>0.5</v>
      </c>
      <c r="G15" s="231">
        <v>1</v>
      </c>
      <c r="H15" s="72">
        <f>(SQRT('Building Typology'!H15/G15)*2)*(1+G15)*(1-F15)</f>
        <v>23.664319132398465</v>
      </c>
      <c r="I15" s="72">
        <f>H15*(C15*'Building Typology'!I15)</f>
        <v>94.657276529593858</v>
      </c>
      <c r="J15" s="72">
        <f>I15-K15</f>
        <v>47.328638264796929</v>
      </c>
      <c r="K15" s="72">
        <f>I15*E15</f>
        <v>47.328638264796929</v>
      </c>
      <c r="L15" s="72">
        <f>H15*D15</f>
        <v>0</v>
      </c>
      <c r="M15" s="72">
        <f>'Building Typology'!H15</f>
        <v>140</v>
      </c>
      <c r="N15" s="72">
        <f>'Building Typology'!H15</f>
        <v>140</v>
      </c>
      <c r="O15" s="135"/>
      <c r="P15" s="185">
        <v>0.36</v>
      </c>
      <c r="Q15" s="139">
        <f>IF(P15=0,0,((J15)*'Global Inputs'!$C$36*(24))/P15/277778)</f>
        <v>48.84311561477795</v>
      </c>
      <c r="R15" s="139">
        <f>IF(P15=0,0,(J15*42/P15)/1000)</f>
        <v>5.521674464226308</v>
      </c>
      <c r="S15" s="135"/>
      <c r="T15" s="219">
        <v>0.16</v>
      </c>
      <c r="U15" s="139">
        <f>IF(T15=0,0,((K15)*'Global Inputs'!$C$36*(24))/T15/277778)</f>
        <v>109.89701013325038</v>
      </c>
      <c r="V15" s="139">
        <f>IF(T15=0,0,(K15*42/T15)/1000)</f>
        <v>12.423767544509193</v>
      </c>
      <c r="W15" s="135"/>
      <c r="X15" s="185">
        <v>1.2326999999999999</v>
      </c>
      <c r="Y15" s="139">
        <f>IF(X15=0,0,((M15)*'Global Inputs'!$C$36*(24))/X15/277778)</f>
        <v>42.194174081117296</v>
      </c>
      <c r="Z15" s="139">
        <f>IF(X15=0,0,(M15*42/X15)/1000)</f>
        <v>4.7700170357751288</v>
      </c>
      <c r="AA15" s="135"/>
      <c r="AB15" s="139">
        <f t="shared" si="14"/>
        <v>200.93429982914563</v>
      </c>
      <c r="AC15" s="135"/>
      <c r="AD15" s="219">
        <v>3.1</v>
      </c>
      <c r="AE15" s="143">
        <v>51</v>
      </c>
      <c r="AF15" s="144">
        <f>AE15*J15*'Global Inputs'!$C$5</f>
        <v>25981.477200340829</v>
      </c>
      <c r="AG15" s="140">
        <f>IF(AD15=0,0,((J15)*'Global Inputs'!$C$36*(24))/AD15/277777.777777777)</f>
        <v>5.6721082864959369</v>
      </c>
      <c r="AH15" s="140">
        <f>Q15-AG15</f>
        <v>43.171007328282016</v>
      </c>
      <c r="AI15" s="141">
        <f t="shared" si="15"/>
        <v>0.64122671197466807</v>
      </c>
      <c r="AJ15" s="141">
        <f>R15-AI15</f>
        <v>4.8804477522516398</v>
      </c>
      <c r="AK15" s="142">
        <f>AJ15/14</f>
        <v>0.34860341087511715</v>
      </c>
      <c r="AL15" s="141">
        <f>AJ15/4.2</f>
        <v>1.1620113695837238</v>
      </c>
      <c r="AM15" s="142">
        <f>AL15/16.6</f>
        <v>7.0000684914682143E-2</v>
      </c>
      <c r="AN15" s="135"/>
      <c r="AO15" s="97">
        <v>0.63</v>
      </c>
      <c r="AP15" s="143">
        <f>755/10.7639</f>
        <v>70.141863079367141</v>
      </c>
      <c r="AQ15" s="144">
        <f>AP15*K15*'Global Inputs'!$C$5</f>
        <v>35733.121889921684</v>
      </c>
      <c r="AR15" s="140">
        <f>((K15)*'Global Inputs'!$C$36*(24))/AO15/277777.777777777</f>
        <v>27.910374108154613</v>
      </c>
      <c r="AS15" s="140">
        <f>U15-AR15</f>
        <v>81.986636025095763</v>
      </c>
      <c r="AT15" s="141">
        <f>(K15*42/AO15)/1000</f>
        <v>3.1552425509864621</v>
      </c>
      <c r="AU15" s="140">
        <f>V15-AT15</f>
        <v>9.2685249935227318</v>
      </c>
      <c r="AV15" s="142">
        <f>AU15/14</f>
        <v>0.66203749953733804</v>
      </c>
      <c r="AW15" s="226">
        <f>AU15/4.2</f>
        <v>2.2067916651244599</v>
      </c>
      <c r="AX15" s="142">
        <f>AW15/16.6</f>
        <v>0.13293925693520842</v>
      </c>
      <c r="AY15" s="135"/>
      <c r="AZ15" s="97">
        <v>1.2326999999999999</v>
      </c>
      <c r="BA15" s="143">
        <v>24.619329425208335</v>
      </c>
      <c r="BB15" s="144">
        <f>M15*BA15*'Global Inputs'!$C$5</f>
        <v>37099.999999999993</v>
      </c>
      <c r="BC15" s="140">
        <f>((M15)*(4300)*(24))/AZ15/277777.777777777</f>
        <v>42.194207836456677</v>
      </c>
      <c r="BD15" s="140">
        <f>Y15-BC15</f>
        <v>-3.3755339380547866E-5</v>
      </c>
      <c r="BE15" s="141">
        <f>(M15*42/AZ15)/1000</f>
        <v>4.7700170357751288</v>
      </c>
      <c r="BF15" s="141">
        <f>Z15-BE15</f>
        <v>0</v>
      </c>
      <c r="BG15" s="142">
        <f>BF15/14</f>
        <v>0</v>
      </c>
      <c r="BH15" s="141">
        <f>BF15/4.2</f>
        <v>0</v>
      </c>
      <c r="BI15" s="142">
        <f>BH15/16.6</f>
        <v>0</v>
      </c>
      <c r="BJ15" s="135"/>
      <c r="BK15" s="188">
        <v>3.1</v>
      </c>
      <c r="BL15" s="143">
        <f>325/10.7639</f>
        <v>30.19351721959513</v>
      </c>
      <c r="BM15" s="144">
        <f>J15*BL15*'Global Inputs'!$C$5</f>
        <v>15381.807436059002</v>
      </c>
      <c r="BN15" s="139">
        <f>IF(BK15=0,0,((J15)*('Global Inputs'!$C$36)*(24))/BK15/277777.777777777)</f>
        <v>5.6721082864959369</v>
      </c>
      <c r="BO15" s="139">
        <f>Q15-BN15</f>
        <v>43.171007328282016</v>
      </c>
      <c r="BP15" s="146">
        <f>(J15*42/BK15)/1000</f>
        <v>0.64122671197466807</v>
      </c>
      <c r="BQ15" s="146">
        <f>R15-BP15</f>
        <v>4.8804477522516398</v>
      </c>
      <c r="BR15" s="147">
        <f>BQ15/14</f>
        <v>0.34860341087511715</v>
      </c>
      <c r="BS15" s="148">
        <f>BQ15/4.2</f>
        <v>1.1620113695837238</v>
      </c>
      <c r="BT15" s="147">
        <f>BS15/16.6</f>
        <v>7.0000684914682143E-2</v>
      </c>
      <c r="BU15" s="135"/>
      <c r="BV15" s="188">
        <v>0.63</v>
      </c>
      <c r="BW15" s="143">
        <f>925.6/10.7639</f>
        <v>85.99113704140693</v>
      </c>
      <c r="BX15" s="144">
        <f>K15*BW15*'Global Inputs'!$C$5</f>
        <v>43807.387577896036</v>
      </c>
      <c r="BY15" s="139">
        <f>((K15)*('Global Inputs'!$C$36)*(24))/BV15/277777.777777777</f>
        <v>27.910374108154613</v>
      </c>
      <c r="BZ15" s="139">
        <f>U15-BY15</f>
        <v>81.986636025095763</v>
      </c>
      <c r="CA15" s="146">
        <f>(K15*42/BV15)/1000</f>
        <v>3.1552425509864621</v>
      </c>
      <c r="CB15" s="146">
        <f>V15-CA15</f>
        <v>9.2685249935227318</v>
      </c>
      <c r="CC15" s="147">
        <f>CB15/14</f>
        <v>0.66203749953733804</v>
      </c>
      <c r="CD15" s="148">
        <f>CB15/4.2</f>
        <v>2.2067916651244599</v>
      </c>
      <c r="CE15" s="147">
        <f>CD15/16.6</f>
        <v>0.13293925693520842</v>
      </c>
      <c r="CF15" s="135"/>
      <c r="CG15" s="188">
        <v>5.8</v>
      </c>
      <c r="CH15" s="187">
        <v>69.67734742983491</v>
      </c>
      <c r="CI15" s="149">
        <f>M15*CH15*'Global Inputs'!$C$5</f>
        <v>105000</v>
      </c>
      <c r="CJ15" s="139">
        <f>((M15)*('Global Inputs'!$C$36)*(24))/CG15/277777.777777777</f>
        <v>8.9677241379310608</v>
      </c>
      <c r="CK15" s="139">
        <f>Y15-CJ15</f>
        <v>33.226449943186239</v>
      </c>
      <c r="CL15" s="146">
        <f>(M15*42/CG15)/1000</f>
        <v>1.0137931034482759</v>
      </c>
      <c r="CM15" s="146">
        <f>Z15-CL15</f>
        <v>3.7562239323268529</v>
      </c>
      <c r="CN15" s="147">
        <f>CM15/14</f>
        <v>0.26830170945191806</v>
      </c>
      <c r="CO15" s="148">
        <f>CM15/4.2</f>
        <v>0.89433903150639349</v>
      </c>
      <c r="CP15" s="147">
        <f>CO15/16.6</f>
        <v>5.3875845271469484E-2</v>
      </c>
      <c r="CQ15" s="135"/>
      <c r="CR15" s="190">
        <v>0.82</v>
      </c>
      <c r="CS15" s="191">
        <v>142000</v>
      </c>
      <c r="CT15" s="139">
        <f>'Building Typology'!K15*0.06+15/1000*5*'Building Typology'!K15</f>
        <v>203.43770999999998</v>
      </c>
      <c r="CU15" s="139">
        <f>CT15*0.024*CR15</f>
        <v>4.0036541327999995</v>
      </c>
      <c r="CV15" s="146">
        <f>CU15/'Building Typology'!AM15</f>
        <v>0.29520000000000002</v>
      </c>
      <c r="CW15" s="139">
        <f>CU15/CR15</f>
        <v>4.8825050399999999</v>
      </c>
      <c r="CX15" s="147">
        <f>CW15/'Building Typology'!AM15</f>
        <v>0.36000000000000004</v>
      </c>
      <c r="CY15" s="135"/>
      <c r="CZ15" s="152">
        <f>SUM(BN15,BY15,CJ15)</f>
        <v>42.550206532581612</v>
      </c>
      <c r="DA15" s="152">
        <f>CZ15-AB15</f>
        <v>-158.384093296564</v>
      </c>
      <c r="DB15" s="135"/>
    </row>
    <row r="16" spans="1:106" x14ac:dyDescent="0.3">
      <c r="A16" s="46" t="str">
        <f>IF('Building Typology'!A16=0," ",'Building Typology'!A16)</f>
        <v>Mall retail</v>
      </c>
      <c r="B16" s="135"/>
      <c r="C16" s="136">
        <v>4</v>
      </c>
      <c r="D16" s="136"/>
      <c r="E16" s="137">
        <v>1</v>
      </c>
      <c r="F16" s="137"/>
      <c r="G16" s="231">
        <v>1</v>
      </c>
      <c r="H16" s="72">
        <f>(SQRT('Building Typology'!H16/G16)*2)*(1+G16)*(1-F16)</f>
        <v>400</v>
      </c>
      <c r="I16" s="72">
        <f>H16*(C16*'Building Typology'!I16)</f>
        <v>3200</v>
      </c>
      <c r="J16" s="72">
        <f>I16-K16</f>
        <v>0</v>
      </c>
      <c r="K16" s="72">
        <f>I16*E16</f>
        <v>3200</v>
      </c>
      <c r="L16" s="72">
        <f>H16*D16</f>
        <v>0</v>
      </c>
      <c r="M16" s="72">
        <f>'Building Typology'!H16</f>
        <v>10000</v>
      </c>
      <c r="N16" s="72">
        <f>'Building Typology'!H16</f>
        <v>10000</v>
      </c>
      <c r="O16" s="135"/>
      <c r="P16" s="130"/>
      <c r="Q16" s="192"/>
      <c r="R16" s="192"/>
      <c r="S16" s="135"/>
      <c r="T16" s="130"/>
      <c r="U16" s="192"/>
      <c r="V16" s="192"/>
      <c r="W16" s="135"/>
      <c r="X16" s="130"/>
      <c r="Y16" s="192"/>
      <c r="Z16" s="192"/>
      <c r="AA16" s="135"/>
      <c r="AB16" s="139"/>
      <c r="AC16" s="135"/>
      <c r="AD16" s="176"/>
      <c r="AE16" s="176"/>
      <c r="AF16" s="176"/>
      <c r="AG16" s="176"/>
      <c r="AH16" s="176"/>
      <c r="AI16" s="176"/>
      <c r="AJ16" s="176"/>
      <c r="AK16" s="177"/>
      <c r="AL16" s="176"/>
      <c r="AM16" s="177"/>
      <c r="AN16" s="135"/>
      <c r="AO16" s="132"/>
      <c r="AP16" s="178"/>
      <c r="AQ16" s="179"/>
      <c r="AR16" s="174"/>
      <c r="AS16" s="177"/>
      <c r="AT16" s="176"/>
      <c r="AU16" s="177"/>
      <c r="AV16" s="177"/>
      <c r="AW16" s="177"/>
      <c r="AX16" s="177"/>
      <c r="AY16" s="135"/>
      <c r="AZ16" s="132"/>
      <c r="BA16" s="178"/>
      <c r="BB16" s="179"/>
      <c r="BC16" s="175"/>
      <c r="BD16" s="175"/>
      <c r="BE16" s="176"/>
      <c r="BF16" s="176"/>
      <c r="BG16" s="177"/>
      <c r="BH16" s="176"/>
      <c r="BI16" s="177"/>
      <c r="BJ16" s="135"/>
      <c r="BK16" s="193"/>
      <c r="BL16" s="178"/>
      <c r="BM16" s="179"/>
      <c r="BN16" s="193"/>
      <c r="BO16" s="193"/>
      <c r="BP16" s="193"/>
      <c r="BQ16" s="193"/>
      <c r="BR16" s="194"/>
      <c r="BS16" s="195"/>
      <c r="BT16" s="194"/>
      <c r="BU16" s="135"/>
      <c r="BV16" s="192"/>
      <c r="BW16" s="178"/>
      <c r="BX16" s="179"/>
      <c r="BY16" s="192"/>
      <c r="BZ16" s="192"/>
      <c r="CA16" s="193"/>
      <c r="CB16" s="193"/>
      <c r="CC16" s="193"/>
      <c r="CD16" s="193"/>
      <c r="CE16" s="193"/>
      <c r="CF16" s="135"/>
      <c r="CG16" s="196"/>
      <c r="CH16" s="196"/>
      <c r="CI16" s="196"/>
      <c r="CJ16" s="192"/>
      <c r="CK16" s="192"/>
      <c r="CL16" s="193"/>
      <c r="CM16" s="193"/>
      <c r="CN16" s="194"/>
      <c r="CO16" s="195"/>
      <c r="CP16" s="194"/>
      <c r="CQ16" s="135"/>
      <c r="CR16" s="190">
        <v>0.85</v>
      </c>
      <c r="CS16" s="191"/>
      <c r="CT16" s="192">
        <f>'Building Typology'!K16*0.12+2/1000*7.5*'Building Typology'!K16</f>
        <v>29062.53</v>
      </c>
      <c r="CU16" s="192">
        <f>CT16*0.024*CR16</f>
        <v>592.87561199999993</v>
      </c>
      <c r="CV16" s="193">
        <f>CU16/'Building Typology'!AM16</f>
        <v>0.34425</v>
      </c>
      <c r="CW16" s="192">
        <f>CU16/CR16</f>
        <v>697.50071999999989</v>
      </c>
      <c r="CX16" s="194">
        <f>CW16/'Building Typology'!AM16</f>
        <v>0.40499999999999997</v>
      </c>
      <c r="CY16" s="135"/>
      <c r="CZ16" s="152">
        <f>SUM(BN16,BY16,CJ16)</f>
        <v>0</v>
      </c>
      <c r="DA16" s="152">
        <f>CZ16-AB16</f>
        <v>0</v>
      </c>
      <c r="DB16" s="135"/>
    </row>
    <row r="17" spans="1:106" x14ac:dyDescent="0.3">
      <c r="A17" s="44" t="str">
        <f>IF('Building Typology'!A17=0," ",'Building Typology'!A17)</f>
        <v xml:space="preserve"> </v>
      </c>
      <c r="B17" s="135"/>
      <c r="C17" s="153"/>
      <c r="D17" s="153"/>
      <c r="E17" s="154"/>
      <c r="F17" s="154"/>
      <c r="G17" s="232"/>
      <c r="H17" s="154"/>
      <c r="I17" s="45"/>
      <c r="J17" s="45"/>
      <c r="K17" s="45"/>
      <c r="L17" s="45"/>
      <c r="M17" s="45"/>
      <c r="N17" s="45"/>
      <c r="O17" s="135"/>
      <c r="P17" s="135"/>
      <c r="Q17" s="155"/>
      <c r="R17" s="155"/>
      <c r="S17" s="135"/>
      <c r="T17" s="217"/>
      <c r="U17" s="155"/>
      <c r="V17" s="155"/>
      <c r="W17" s="135"/>
      <c r="X17" s="135"/>
      <c r="Y17" s="155"/>
      <c r="Z17" s="155"/>
      <c r="AA17" s="135"/>
      <c r="AB17" s="155"/>
      <c r="AC17" s="135"/>
      <c r="AD17" s="217"/>
      <c r="AE17" s="161"/>
      <c r="AF17" s="162"/>
      <c r="AG17" s="158"/>
      <c r="AH17" s="158"/>
      <c r="AI17" s="159"/>
      <c r="AJ17" s="159"/>
      <c r="AK17" s="160"/>
      <c r="AL17" s="159"/>
      <c r="AM17" s="160"/>
      <c r="AN17" s="135"/>
      <c r="AO17" s="156"/>
      <c r="AP17" s="161"/>
      <c r="AQ17" s="162"/>
      <c r="AR17" s="158"/>
      <c r="AS17" s="158"/>
      <c r="AT17" s="159"/>
      <c r="AU17" s="158"/>
      <c r="AV17" s="160"/>
      <c r="AW17" s="227"/>
      <c r="AX17" s="160"/>
      <c r="AY17" s="135"/>
      <c r="AZ17" s="156"/>
      <c r="BA17" s="161"/>
      <c r="BB17" s="162"/>
      <c r="BC17" s="158"/>
      <c r="BD17" s="158"/>
      <c r="BE17" s="159"/>
      <c r="BF17" s="159"/>
      <c r="BG17" s="160"/>
      <c r="BH17" s="159"/>
      <c r="BI17" s="160"/>
      <c r="BJ17" s="135"/>
      <c r="BK17" s="163"/>
      <c r="BL17" s="161"/>
      <c r="BM17" s="162"/>
      <c r="BN17" s="155"/>
      <c r="BO17" s="155"/>
      <c r="BP17" s="164"/>
      <c r="BQ17" s="164"/>
      <c r="BR17" s="165"/>
      <c r="BS17" s="166"/>
      <c r="BT17" s="165"/>
      <c r="BU17" s="135"/>
      <c r="BV17" s="163"/>
      <c r="BW17" s="161"/>
      <c r="BX17" s="162"/>
      <c r="BY17" s="155"/>
      <c r="BZ17" s="155"/>
      <c r="CA17" s="164"/>
      <c r="CB17" s="164"/>
      <c r="CC17" s="165"/>
      <c r="CD17" s="166"/>
      <c r="CE17" s="165"/>
      <c r="CF17" s="135"/>
      <c r="CG17" s="163"/>
      <c r="CH17" s="161"/>
      <c r="CI17" s="168"/>
      <c r="CJ17" s="155"/>
      <c r="CK17" s="155"/>
      <c r="CL17" s="164"/>
      <c r="CM17" s="164"/>
      <c r="CN17" s="165"/>
      <c r="CO17" s="166"/>
      <c r="CP17" s="165"/>
      <c r="CQ17" s="135"/>
      <c r="CR17" s="160"/>
      <c r="CS17" s="169"/>
      <c r="CT17" s="155"/>
      <c r="CU17" s="155"/>
      <c r="CV17" s="164"/>
      <c r="CW17" s="155"/>
      <c r="CX17" s="165"/>
      <c r="CY17" s="135"/>
      <c r="CZ17" s="170"/>
      <c r="DA17" s="170"/>
      <c r="DB17" s="135"/>
    </row>
    <row r="18" spans="1:106" ht="16.5" x14ac:dyDescent="0.3">
      <c r="A18" s="98" t="str">
        <f>IF('Building Typology'!A18=0," ",'Building Typology'!A18)</f>
        <v>MULTI-UNIT RESIDENTIAL</v>
      </c>
      <c r="B18" s="129"/>
      <c r="C18" s="171"/>
      <c r="D18" s="171"/>
      <c r="E18" s="172"/>
      <c r="F18" s="172"/>
      <c r="G18" s="233"/>
      <c r="H18" s="172"/>
      <c r="I18" s="72"/>
      <c r="J18" s="72"/>
      <c r="K18" s="72"/>
      <c r="L18" s="72"/>
      <c r="M18" s="72">
        <f>'Building Typology'!H18</f>
        <v>0</v>
      </c>
      <c r="N18" s="72">
        <f>'Building Typology'!H18</f>
        <v>0</v>
      </c>
      <c r="O18" s="129"/>
      <c r="P18" s="130"/>
      <c r="Q18" s="192"/>
      <c r="R18" s="192"/>
      <c r="S18" s="129"/>
      <c r="T18" s="218"/>
      <c r="U18" s="192"/>
      <c r="V18" s="192"/>
      <c r="W18" s="129"/>
      <c r="X18" s="130"/>
      <c r="Y18" s="192"/>
      <c r="Z18" s="192"/>
      <c r="AA18" s="129"/>
      <c r="AB18" s="192"/>
      <c r="AC18" s="129"/>
      <c r="AD18" s="218"/>
      <c r="AE18" s="178"/>
      <c r="AF18" s="179"/>
      <c r="AG18" s="175"/>
      <c r="AH18" s="175"/>
      <c r="AI18" s="176"/>
      <c r="AJ18" s="176"/>
      <c r="AK18" s="177"/>
      <c r="AL18" s="176"/>
      <c r="AM18" s="177"/>
      <c r="AN18" s="129"/>
      <c r="AO18" s="132"/>
      <c r="AP18" s="178"/>
      <c r="AQ18" s="179"/>
      <c r="AR18" s="175"/>
      <c r="AS18" s="175"/>
      <c r="AT18" s="176"/>
      <c r="AU18" s="175"/>
      <c r="AV18" s="177"/>
      <c r="AW18" s="228"/>
      <c r="AX18" s="177"/>
      <c r="AY18" s="129"/>
      <c r="AZ18" s="132"/>
      <c r="BA18" s="178"/>
      <c r="BB18" s="179"/>
      <c r="BC18" s="175"/>
      <c r="BD18" s="175"/>
      <c r="BE18" s="176"/>
      <c r="BF18" s="176"/>
      <c r="BG18" s="177"/>
      <c r="BH18" s="176"/>
      <c r="BI18" s="177"/>
      <c r="BJ18" s="129"/>
      <c r="BK18" s="180"/>
      <c r="BL18" s="178"/>
      <c r="BM18" s="179"/>
      <c r="BN18" s="192"/>
      <c r="BO18" s="192"/>
      <c r="BP18" s="193"/>
      <c r="BQ18" s="193"/>
      <c r="BR18" s="194"/>
      <c r="BS18" s="195"/>
      <c r="BT18" s="194"/>
      <c r="BU18" s="129"/>
      <c r="BV18" s="180"/>
      <c r="BW18" s="178"/>
      <c r="BX18" s="179"/>
      <c r="BY18" s="192"/>
      <c r="BZ18" s="192"/>
      <c r="CA18" s="193"/>
      <c r="CB18" s="193"/>
      <c r="CC18" s="194"/>
      <c r="CD18" s="195"/>
      <c r="CE18" s="194"/>
      <c r="CF18" s="129"/>
      <c r="CG18" s="180"/>
      <c r="CH18" s="178"/>
      <c r="CI18" s="196"/>
      <c r="CJ18" s="192"/>
      <c r="CK18" s="192"/>
      <c r="CL18" s="193"/>
      <c r="CM18" s="193"/>
      <c r="CN18" s="194"/>
      <c r="CO18" s="195"/>
      <c r="CP18" s="194"/>
      <c r="CQ18" s="129"/>
      <c r="CR18" s="177"/>
      <c r="CS18" s="183"/>
      <c r="CT18" s="192"/>
      <c r="CU18" s="192"/>
      <c r="CV18" s="193"/>
      <c r="CW18" s="192"/>
      <c r="CX18" s="194"/>
      <c r="CY18" s="129"/>
      <c r="CZ18" s="184"/>
      <c r="DA18" s="184"/>
      <c r="DB18" s="129"/>
    </row>
    <row r="19" spans="1:106" ht="31.5" x14ac:dyDescent="0.3">
      <c r="A19" s="46" t="str">
        <f>IF('Building Typology'!A19=0," ",'Building Typology'!A19)</f>
        <v>Pre-2004 apartment - gas boiler</v>
      </c>
      <c r="B19" s="135"/>
      <c r="C19" s="136">
        <v>3</v>
      </c>
      <c r="D19" s="253"/>
      <c r="E19" s="137">
        <v>0.6</v>
      </c>
      <c r="F19" s="137"/>
      <c r="G19" s="231">
        <v>0.31142199999999998</v>
      </c>
      <c r="H19" s="72">
        <f>(SQRT('Building Typology'!H19/G19)*2)*(1+G19)*(1-F19)</f>
        <v>202.15462420944081</v>
      </c>
      <c r="I19" s="72">
        <f>H19*(C19*'Building Typology'!I19)</f>
        <v>7277.5664715398689</v>
      </c>
      <c r="J19" s="72">
        <f>I19-K19</f>
        <v>2911.0265886159477</v>
      </c>
      <c r="K19" s="72">
        <f>I19*E19</f>
        <v>4366.5398829239211</v>
      </c>
      <c r="L19" s="72">
        <f>H19*D19</f>
        <v>0</v>
      </c>
      <c r="M19" s="72">
        <f>'Building Typology'!H19</f>
        <v>1850</v>
      </c>
      <c r="N19" s="72">
        <f>'Building Typology'!H19</f>
        <v>1850</v>
      </c>
      <c r="O19" s="135"/>
      <c r="P19" s="197">
        <v>0.8</v>
      </c>
      <c r="Q19" s="139">
        <f>IF(P19=0,0,((J19)*'Global Inputs'!$C$36*(24))/P19/277778)</f>
        <v>1351.8796662495131</v>
      </c>
      <c r="R19" s="139">
        <f>IF(P19=0,0,(J19*42/P19)/1000)</f>
        <v>152.82889590233725</v>
      </c>
      <c r="S19" s="135"/>
      <c r="T19" s="222">
        <v>0.27</v>
      </c>
      <c r="U19" s="139">
        <f>IF(T19=0,0,((K19)*'Global Inputs'!$C$36*(24))/T19/277778)</f>
        <v>6008.3540722200569</v>
      </c>
      <c r="V19" s="139">
        <f>IF(T19=0,0,(K19*42/T19)/1000)</f>
        <v>679.23953734372105</v>
      </c>
      <c r="W19" s="135"/>
      <c r="X19" s="197">
        <v>1.2326999999999999</v>
      </c>
      <c r="Y19" s="139">
        <f>IF(X19=0,0,((M19)*'Global Inputs'!$C$36*(24))/X19/277778)</f>
        <v>557.56587178619282</v>
      </c>
      <c r="Z19" s="139">
        <f>IF(X19=0,0,(M19*42/X19)/1000)</f>
        <v>63.032367972742769</v>
      </c>
      <c r="AA19" s="135"/>
      <c r="AB19" s="139">
        <f t="shared" ref="AB19:AB22" si="16">Y19+Q19+U19</f>
        <v>7917.7996102557627</v>
      </c>
      <c r="AC19" s="135"/>
      <c r="AD19" s="222">
        <v>1.5</v>
      </c>
      <c r="AE19" s="143">
        <v>20.903204228950475</v>
      </c>
      <c r="AF19" s="144">
        <f>AE19*J19*'Global Inputs'!$C$5</f>
        <v>654980.98243858828</v>
      </c>
      <c r="AG19" s="140">
        <f>IF(AD19=0,0,((J19)*'Global Inputs'!$C$36*(24))/AD19/277777.777777777)</f>
        <v>721.0030654684</v>
      </c>
      <c r="AH19" s="140">
        <f>Q19-AG19</f>
        <v>630.8766007811131</v>
      </c>
      <c r="AI19" s="141">
        <f t="shared" ref="AI19:AI22" si="17">IF(AD19=0,0,(J19*42/AD19)/1000)</f>
        <v>81.508744481246538</v>
      </c>
      <c r="AJ19" s="141">
        <f>R19-AI19</f>
        <v>71.320151421090713</v>
      </c>
      <c r="AK19" s="142">
        <f>AJ19/2152*1.2</f>
        <v>3.9769601164176972E-2</v>
      </c>
      <c r="AL19" s="141">
        <f>AJ19/4.2</f>
        <v>16.980988433593026</v>
      </c>
      <c r="AM19" s="142">
        <f>AL19/1435.01</f>
        <v>1.1833358954706257E-2</v>
      </c>
      <c r="AN19" s="135"/>
      <c r="AO19" s="97">
        <v>0.93</v>
      </c>
      <c r="AP19" s="143">
        <f>1600/10.7639</f>
        <v>148.64500785031447</v>
      </c>
      <c r="AQ19" s="144">
        <f>AP19*K19*'Global Inputs'!$C$5</f>
        <v>6986463.8126782738</v>
      </c>
      <c r="AR19" s="140">
        <f>((K19)*'Global Inputs'!$C$36*(24))/AO19/277777.777777777</f>
        <v>1744.3622551654835</v>
      </c>
      <c r="AS19" s="140">
        <f>U19-AR19</f>
        <v>4263.9918170545734</v>
      </c>
      <c r="AT19" s="141">
        <f>(K19*42/AO19)/1000</f>
        <v>197.19857535785451</v>
      </c>
      <c r="AU19" s="140">
        <f>V19-AT19</f>
        <v>482.04096198586655</v>
      </c>
      <c r="AV19" s="142">
        <f>AU19/2152*1.2</f>
        <v>0.2687960754568029</v>
      </c>
      <c r="AW19" s="226">
        <f>AU19/4.2</f>
        <v>114.7716576156825</v>
      </c>
      <c r="AX19" s="142">
        <f>AW19/1435.01</f>
        <v>7.9979691859765792E-2</v>
      </c>
      <c r="AY19" s="135"/>
      <c r="AZ19" s="97">
        <v>1.2326999999999999</v>
      </c>
      <c r="BA19" s="143">
        <v>28.799970270998433</v>
      </c>
      <c r="BB19" s="144">
        <f>M19*BA19*'Global Inputs'!$C$5</f>
        <v>573500</v>
      </c>
      <c r="BC19" s="140">
        <f>((M19)*(4300)*(24))/AZ19/277777.777777777</f>
        <v>557.56631783889179</v>
      </c>
      <c r="BD19" s="140">
        <f>Y19-BC19</f>
        <v>-4.4605269897601829E-4</v>
      </c>
      <c r="BE19" s="141">
        <f>(M19*42/AZ19)/1000</f>
        <v>63.032367972742769</v>
      </c>
      <c r="BF19" s="141">
        <f>Z19-BE19</f>
        <v>0</v>
      </c>
      <c r="BG19" s="142">
        <f>BF19/2152*1.2</f>
        <v>0</v>
      </c>
      <c r="BH19" s="141">
        <f>BF19/4.2</f>
        <v>0</v>
      </c>
      <c r="BI19" s="142">
        <f>BH19/1435.01</f>
        <v>0</v>
      </c>
      <c r="BJ19" s="135"/>
      <c r="BK19" s="188">
        <v>6.6</v>
      </c>
      <c r="BL19" s="143">
        <f>460/10.7639</f>
        <v>42.735439756965413</v>
      </c>
      <c r="BM19" s="144">
        <f>J19*BL19*'Global Inputs'!$C$5</f>
        <v>1339072.2307633359</v>
      </c>
      <c r="BN19" s="139">
        <f>IF(BK19=0,0,((J19)*('Global Inputs'!$C$36)*(24))/BK19/277777.777777777)</f>
        <v>163.864333061</v>
      </c>
      <c r="BO19" s="139">
        <f>Q19-BN19</f>
        <v>1188.0153331885131</v>
      </c>
      <c r="BP19" s="146">
        <f>(J19*42/BK19)/1000</f>
        <v>18.52471465482876</v>
      </c>
      <c r="BQ19" s="146">
        <f>R19-BP19</f>
        <v>134.3041812475085</v>
      </c>
      <c r="BR19" s="147">
        <f>BQ19/2152*1.2</f>
        <v>7.4890807387086519E-2</v>
      </c>
      <c r="BS19" s="148">
        <f>BQ19/4.2</f>
        <v>31.977186011311545</v>
      </c>
      <c r="BT19" s="147">
        <f>BS19/1435.01</f>
        <v>2.2283598031589708E-2</v>
      </c>
      <c r="BU19" s="135"/>
      <c r="BV19" s="199">
        <v>0.93</v>
      </c>
      <c r="BW19" s="143">
        <f>2044.4/10.7639</f>
        <v>189.93115878073934</v>
      </c>
      <c r="BX19" s="144">
        <f>K19*BW19*'Global Inputs'!$C$5</f>
        <v>8926954.1366496645</v>
      </c>
      <c r="BY19" s="139">
        <f>((K19)*('Global Inputs'!$C$36)*(24))/BV19/277777.777777777</f>
        <v>1744.3622551654835</v>
      </c>
      <c r="BZ19" s="139">
        <f>U19-BY19</f>
        <v>4263.9918170545734</v>
      </c>
      <c r="CA19" s="146">
        <f>(K19*42/BV19)/1000</f>
        <v>197.19857535785451</v>
      </c>
      <c r="CB19" s="146">
        <f>V19-CA19</f>
        <v>482.04096198586655</v>
      </c>
      <c r="CC19" s="147">
        <f>CB19/2152*1.2</f>
        <v>0.2687960754568029</v>
      </c>
      <c r="CD19" s="148">
        <f>CB19/4.2</f>
        <v>114.7716576156825</v>
      </c>
      <c r="CE19" s="147">
        <f>CD19/1435.01</f>
        <v>7.9979691859765792E-2</v>
      </c>
      <c r="CF19" s="135"/>
      <c r="CG19" s="188">
        <v>5.8</v>
      </c>
      <c r="CH19" s="198">
        <v>30.19351721959513</v>
      </c>
      <c r="CI19" s="149">
        <f>M19*CH19*'Global Inputs'!$C$5</f>
        <v>601250</v>
      </c>
      <c r="CJ19" s="139">
        <f>((M19)*('Global Inputs'!$C$36)*(24))/CG19/277777.777777777</f>
        <v>118.50206896551758</v>
      </c>
      <c r="CK19" s="139">
        <f>Y19-CJ19</f>
        <v>439.06380282067522</v>
      </c>
      <c r="CL19" s="146">
        <f>(M19*42/CG19)/1000</f>
        <v>13.396551724137931</v>
      </c>
      <c r="CM19" s="146">
        <f>Z19-CL19</f>
        <v>49.63581624860484</v>
      </c>
      <c r="CN19" s="147">
        <f>CM19/2152*1.2</f>
        <v>2.7677964450894894E-2</v>
      </c>
      <c r="CO19" s="148">
        <f>CM19/4.2</f>
        <v>11.818051487763057</v>
      </c>
      <c r="CP19" s="147">
        <f>CO19/1435.01</f>
        <v>8.2355185592874313E-3</v>
      </c>
      <c r="CQ19" s="135"/>
      <c r="CR19" s="200">
        <v>0.82</v>
      </c>
      <c r="CS19" s="201">
        <v>875004</v>
      </c>
      <c r="CT19" s="139" t="s">
        <v>292</v>
      </c>
      <c r="CU19" s="139">
        <f>'Building Typology'!L19*50*0.024*CR19</f>
        <v>235.13524271999998</v>
      </c>
      <c r="CV19" s="146">
        <f>CU19/'Building Typology'!AM19</f>
        <v>0.10933333333333334</v>
      </c>
      <c r="CW19" s="139">
        <f>CU19/CR19</f>
        <v>286.75029599999999</v>
      </c>
      <c r="CX19" s="147">
        <f>CW19/'Building Typology'!AM19</f>
        <v>0.13333333333333333</v>
      </c>
      <c r="CY19" s="135"/>
      <c r="CZ19" s="152">
        <f>SUM(BN19,BY19,CJ19)</f>
        <v>2026.728657192001</v>
      </c>
      <c r="DA19" s="152">
        <f>CZ19-AB19</f>
        <v>-5891.0709530637614</v>
      </c>
      <c r="DB19" s="135"/>
    </row>
    <row r="20" spans="1:106" ht="31.5" x14ac:dyDescent="0.3">
      <c r="A20" s="46" t="str">
        <f>IF('Building Typology'!A20=0," ",'Building Typology'!A20)</f>
        <v>Pre-2004 apartment - electric</v>
      </c>
      <c r="B20" s="135"/>
      <c r="C20" s="136">
        <v>3</v>
      </c>
      <c r="D20" s="136"/>
      <c r="E20" s="137">
        <v>0.6</v>
      </c>
      <c r="F20" s="137"/>
      <c r="G20" s="231">
        <v>1</v>
      </c>
      <c r="H20" s="72">
        <f>(SQRT('Building Typology'!H20/G20)*2)*(1+G20)*(1-F20)</f>
        <v>172.04650534085255</v>
      </c>
      <c r="I20" s="72">
        <f>H20*(C20*'Building Typology'!I20)</f>
        <v>6193.6741922706915</v>
      </c>
      <c r="J20" s="72">
        <f>I20-K20</f>
        <v>2477.4696769082766</v>
      </c>
      <c r="K20" s="72">
        <f>I20*E20</f>
        <v>3716.2045153624149</v>
      </c>
      <c r="L20" s="72">
        <f>H20*D20</f>
        <v>0</v>
      </c>
      <c r="M20" s="72">
        <f>'Building Typology'!H20</f>
        <v>1850</v>
      </c>
      <c r="N20" s="72">
        <f>'Building Typology'!H20</f>
        <v>1850</v>
      </c>
      <c r="O20" s="135"/>
      <c r="P20" s="197">
        <v>2.1</v>
      </c>
      <c r="Q20" s="139">
        <f>IF(P20=0,0,((J20)*'Global Inputs'!$C$36*(24))/P20/277778)</f>
        <v>438.29942762948787</v>
      </c>
      <c r="R20" s="139">
        <f>IF(P20=0,0,(J20*42/P20)/1000)</f>
        <v>49.549393538165532</v>
      </c>
      <c r="S20" s="135"/>
      <c r="T20" s="222">
        <v>0.27</v>
      </c>
      <c r="U20" s="139">
        <f>IF(T20=0,0,((K20)*'Global Inputs'!$C$36*(24))/T20/277778)</f>
        <v>5113.4933223440248</v>
      </c>
      <c r="V20" s="139">
        <f>IF(T20=0,0,(K20*42/T20)/1000)</f>
        <v>578.0762579452645</v>
      </c>
      <c r="W20" s="135"/>
      <c r="X20" s="197">
        <v>1.2326999999999999</v>
      </c>
      <c r="Y20" s="139">
        <f>IF(X20=0,0,((M20)*'Global Inputs'!$C$36*(24))/X20/277778)</f>
        <v>557.56587178619282</v>
      </c>
      <c r="Z20" s="139">
        <f>IF(X20=0,0,(M20*42/X20)/1000)</f>
        <v>63.032367972742769</v>
      </c>
      <c r="AA20" s="135"/>
      <c r="AB20" s="139">
        <f t="shared" si="16"/>
        <v>6109.3586217597058</v>
      </c>
      <c r="AC20" s="135"/>
      <c r="AD20" s="222">
        <v>6.6</v>
      </c>
      <c r="AE20" s="143">
        <v>20.903204228950475</v>
      </c>
      <c r="AF20" s="144">
        <f>AE20*J20*'Global Inputs'!$C$5</f>
        <v>557430.6773043623</v>
      </c>
      <c r="AG20" s="140">
        <f>IF(AD20=0,0,((J20)*'Global Inputs'!$C$36*(24))/AD20/277777.777777777)</f>
        <v>139.4590203583281</v>
      </c>
      <c r="AH20" s="140">
        <f>Q20-AG20</f>
        <v>298.84040727115973</v>
      </c>
      <c r="AI20" s="141">
        <f t="shared" si="17"/>
        <v>15.765716125779944</v>
      </c>
      <c r="AJ20" s="141">
        <f>R20-AI20</f>
        <v>33.783677412385586</v>
      </c>
      <c r="AK20" s="142">
        <f>AJ20/2152</f>
        <v>1.5698734857056498E-2</v>
      </c>
      <c r="AL20" s="141">
        <f>AJ20/4.2</f>
        <v>8.0437327172346631</v>
      </c>
      <c r="AM20" s="142">
        <f>AL20/1435.01</f>
        <v>5.6053495914555737E-3</v>
      </c>
      <c r="AN20" s="135"/>
      <c r="AO20" s="97">
        <v>0.93</v>
      </c>
      <c r="AP20" s="143">
        <f>1600/10.7639</f>
        <v>148.64500785031447</v>
      </c>
      <c r="AQ20" s="144">
        <f>AP20*K20*'Global Inputs'!$C$5</f>
        <v>5945927.2245798633</v>
      </c>
      <c r="AR20" s="140">
        <f>((K20)*'Global Inputs'!$C$36*(24))/AO20/277777.777777777</f>
        <v>1484.563765104783</v>
      </c>
      <c r="AS20" s="140">
        <f>U20-AR20</f>
        <v>3628.9295572392421</v>
      </c>
      <c r="AT20" s="141">
        <f>(K20*42/AO20)/1000</f>
        <v>167.82859101636711</v>
      </c>
      <c r="AU20" s="140">
        <f>V20-AT20</f>
        <v>410.24766692889739</v>
      </c>
      <c r="AV20" s="142">
        <f>AU20/2152</f>
        <v>0.19063553295952482</v>
      </c>
      <c r="AW20" s="226">
        <f>AU20/4.2</f>
        <v>97.678015935451754</v>
      </c>
      <c r="AX20" s="142">
        <f>AW20/1435.01</f>
        <v>6.8067829447496356E-2</v>
      </c>
      <c r="AY20" s="135"/>
      <c r="AZ20" s="97">
        <v>1.2326999999999999</v>
      </c>
      <c r="BA20" s="143">
        <v>28.799970270998433</v>
      </c>
      <c r="BB20" s="144">
        <f>M20*BA20*'Global Inputs'!$C$5</f>
        <v>573500</v>
      </c>
      <c r="BC20" s="140">
        <f>((M20)*(4300)*(24))/AZ20/277777.777777777</f>
        <v>557.56631783889179</v>
      </c>
      <c r="BD20" s="140">
        <f>Y20-BC20</f>
        <v>-4.4605269897601829E-4</v>
      </c>
      <c r="BE20" s="141">
        <f>(M20*42/AZ20)/1000</f>
        <v>63.032367972742769</v>
      </c>
      <c r="BF20" s="141">
        <f>Z20-BE20</f>
        <v>0</v>
      </c>
      <c r="BG20" s="142">
        <f>BF20/2152</f>
        <v>0</v>
      </c>
      <c r="BH20" s="141">
        <f>BF20/4.2</f>
        <v>0</v>
      </c>
      <c r="BI20" s="142">
        <f>BH20/1435.01</f>
        <v>0</v>
      </c>
      <c r="BJ20" s="135"/>
      <c r="BK20" s="188">
        <v>0.7</v>
      </c>
      <c r="BL20" s="143">
        <f>460/10.7639</f>
        <v>42.735439756965413</v>
      </c>
      <c r="BM20" s="144">
        <f>J20*BL20*'Global Inputs'!$C$5</f>
        <v>1139636.0513778073</v>
      </c>
      <c r="BN20" s="139">
        <f>IF(BK20=0,0,((J20)*('Global Inputs'!$C$36)*(24))/BK20/277777.777777777)</f>
        <v>1314.8993348070937</v>
      </c>
      <c r="BO20" s="139">
        <f>Q20-BN20</f>
        <v>-876.59990717760593</v>
      </c>
      <c r="BP20" s="146">
        <f>(J20*42/BK20)/1000</f>
        <v>148.64818061449662</v>
      </c>
      <c r="BQ20" s="146">
        <f>R20-BP20</f>
        <v>-99.098787076331092</v>
      </c>
      <c r="BR20" s="147">
        <f>BQ20/2152</f>
        <v>-4.6049622247365751E-2</v>
      </c>
      <c r="BS20" s="148">
        <f>BQ20/4.2</f>
        <v>-23.594949303888356</v>
      </c>
      <c r="BT20" s="147">
        <f>BS20/1435.01</f>
        <v>-1.6442358801603024E-2</v>
      </c>
      <c r="BU20" s="135"/>
      <c r="BV20" s="199">
        <v>0.93</v>
      </c>
      <c r="BW20" s="143">
        <f>2044.4/10.7639</f>
        <v>189.93115878073934</v>
      </c>
      <c r="BX20" s="144">
        <f>K20*BW20*'Global Inputs'!$C$5</f>
        <v>7597408.5112069212</v>
      </c>
      <c r="BY20" s="139">
        <f>((K20)*('Global Inputs'!$C$36)*(24))/BV20/277777.777777777</f>
        <v>1484.563765104783</v>
      </c>
      <c r="BZ20" s="139">
        <f>U20-BY20</f>
        <v>3628.9295572392421</v>
      </c>
      <c r="CA20" s="146">
        <f>(K20*42/BV20)/1000</f>
        <v>167.82859101636711</v>
      </c>
      <c r="CB20" s="146">
        <f>V20-CA20</f>
        <v>410.24766692889739</v>
      </c>
      <c r="CC20" s="147">
        <f>CB20/2152</f>
        <v>0.19063553295952482</v>
      </c>
      <c r="CD20" s="148">
        <f>CB20/4.2</f>
        <v>97.678015935451754</v>
      </c>
      <c r="CE20" s="147">
        <f>CD20/1435.01</f>
        <v>6.8067829447496356E-2</v>
      </c>
      <c r="CF20" s="135"/>
      <c r="CG20" s="188">
        <v>5.8</v>
      </c>
      <c r="CH20" s="198">
        <v>30.19351721959513</v>
      </c>
      <c r="CI20" s="149">
        <f>M20*CH20*'Global Inputs'!$C$5</f>
        <v>601250</v>
      </c>
      <c r="CJ20" s="139">
        <f>((M20)*('Global Inputs'!$C$36)*(24))/CG20/277777.777777777</f>
        <v>118.50206896551758</v>
      </c>
      <c r="CK20" s="139">
        <f>Y20-CJ20</f>
        <v>439.06380282067522</v>
      </c>
      <c r="CL20" s="146">
        <f>(M20*42/CG20)/1000</f>
        <v>13.396551724137931</v>
      </c>
      <c r="CM20" s="146">
        <f>Z20-CL20</f>
        <v>49.63581624860484</v>
      </c>
      <c r="CN20" s="147">
        <f>CM20/2152</f>
        <v>2.3064970375745744E-2</v>
      </c>
      <c r="CO20" s="148">
        <f>CM20/4.2</f>
        <v>11.818051487763057</v>
      </c>
      <c r="CP20" s="147">
        <f>CO20/1435.01</f>
        <v>8.2355185592874313E-3</v>
      </c>
      <c r="CQ20" s="135"/>
      <c r="CR20" s="200">
        <v>0.82</v>
      </c>
      <c r="CS20" s="201">
        <v>866639</v>
      </c>
      <c r="CT20" s="139" t="s">
        <v>292</v>
      </c>
      <c r="CU20" s="139">
        <f>'Building Typology'!L20*50*0.024*CR20</f>
        <v>235.13524271999998</v>
      </c>
      <c r="CV20" s="146">
        <f>CU20/'Building Typology'!AM20</f>
        <v>0.10933333333333334</v>
      </c>
      <c r="CW20" s="139">
        <f>CU20/CR20</f>
        <v>286.75029599999999</v>
      </c>
      <c r="CX20" s="147">
        <f>CW20/'Building Typology'!AM20</f>
        <v>0.13333333333333333</v>
      </c>
      <c r="CY20" s="135"/>
      <c r="CZ20" s="152">
        <f>SUM(BN20,BY20,CJ20)</f>
        <v>2917.9651688773943</v>
      </c>
      <c r="DA20" s="152">
        <f>CZ20-AB20</f>
        <v>-3191.3934528823115</v>
      </c>
      <c r="DB20" s="135"/>
    </row>
    <row r="21" spans="1:106" x14ac:dyDescent="0.3">
      <c r="A21" s="46" t="str">
        <f>IF('Building Typology'!A21=0," ",'Building Typology'!A21)</f>
        <v>Post-2004 condo (window glazing alternate)</v>
      </c>
      <c r="B21" s="135"/>
      <c r="C21" s="171">
        <f>C22</f>
        <v>2.6</v>
      </c>
      <c r="D21" s="171">
        <f>D22</f>
        <v>0</v>
      </c>
      <c r="E21" s="137">
        <v>1</v>
      </c>
      <c r="F21" s="251">
        <f>F22</f>
        <v>0</v>
      </c>
      <c r="G21" s="254">
        <f>G22</f>
        <v>1</v>
      </c>
      <c r="H21" s="72">
        <f>(SQRT('Building Typology'!H21/G21)*2)*(1+G21)*(1-F21)</f>
        <v>109.54451150103323</v>
      </c>
      <c r="I21" s="72">
        <f>H21*(C21*'Building Typology'!I21)</f>
        <v>8544.4718970805916</v>
      </c>
      <c r="J21" s="72">
        <f>I21-K21</f>
        <v>0</v>
      </c>
      <c r="K21" s="72">
        <f>I21*E21</f>
        <v>8544.4718970805916</v>
      </c>
      <c r="L21" s="72">
        <f>H21*D21</f>
        <v>0</v>
      </c>
      <c r="M21" s="72">
        <f>'Building Typology'!H21</f>
        <v>750</v>
      </c>
      <c r="N21" s="72">
        <f>'Building Typology'!H21</f>
        <v>750</v>
      </c>
      <c r="O21" s="135"/>
      <c r="P21" s="185">
        <v>0.7</v>
      </c>
      <c r="Q21" s="139">
        <f>IF(P21=0,0,((J21)*'Global Inputs'!$C$36*(24))/P21/277778)</f>
        <v>0</v>
      </c>
      <c r="R21" s="139">
        <f>IF(P21=0,0,(J21*42/P21)/1000)</f>
        <v>0</v>
      </c>
      <c r="S21" s="135"/>
      <c r="T21" s="222">
        <v>0.27</v>
      </c>
      <c r="U21" s="139">
        <f>IF(T21=0,0,((K21)*'Global Inputs'!$C$36*(24))/T21/277778)</f>
        <v>11757.183924635752</v>
      </c>
      <c r="V21" s="139">
        <f>IF(T21=0,0,(K21*42/T21)/1000)</f>
        <v>1329.1400728792032</v>
      </c>
      <c r="W21" s="135"/>
      <c r="X21" s="185">
        <v>1.2326999999999999</v>
      </c>
      <c r="Y21" s="139">
        <f>IF(X21=0,0,((M21)*'Global Inputs'!$C$36*(24))/X21/277778)</f>
        <v>226.04021829169983</v>
      </c>
      <c r="Z21" s="139">
        <f>IF(X21=0,0,(M21*42/X21)/1000)</f>
        <v>25.553662691652473</v>
      </c>
      <c r="AA21" s="135"/>
      <c r="AB21" s="139">
        <f t="shared" si="16"/>
        <v>11983.224142927453</v>
      </c>
      <c r="AC21" s="135"/>
      <c r="AD21" s="219">
        <v>3.1</v>
      </c>
      <c r="AE21" s="143">
        <v>0</v>
      </c>
      <c r="AF21" s="144">
        <f>AE21*J21*'Global Inputs'!$C$5</f>
        <v>0</v>
      </c>
      <c r="AG21" s="140">
        <f>IF(AD21=0,0,((J21)*'Global Inputs'!$C$36*(24))/AD21/277777.777777777)</f>
        <v>0</v>
      </c>
      <c r="AH21" s="140">
        <f>Q21-AG21</f>
        <v>0</v>
      </c>
      <c r="AI21" s="141">
        <f t="shared" si="17"/>
        <v>0</v>
      </c>
      <c r="AJ21" s="141"/>
      <c r="AK21" s="142"/>
      <c r="AL21" s="141"/>
      <c r="AM21" s="142"/>
      <c r="AN21" s="135"/>
      <c r="AO21" s="97">
        <v>0.93</v>
      </c>
      <c r="AP21" s="143">
        <f>280/10.7639</f>
        <v>26.012876373805035</v>
      </c>
      <c r="AQ21" s="144">
        <f>AP21*K21*'Global Inputs'!$C$5</f>
        <v>2392452.1311825658</v>
      </c>
      <c r="AR21" s="140">
        <f>((K21)*'Global Inputs'!$C$36*(24))/AO21/277777.777777777</f>
        <v>3413.3787088208496</v>
      </c>
      <c r="AS21" s="140">
        <f>U21-AR21</f>
        <v>8343.8052158149021</v>
      </c>
      <c r="AT21" s="141">
        <f>(K21*42/AO21)/1000</f>
        <v>385.87937599718799</v>
      </c>
      <c r="AU21" s="140">
        <f>V21-AT21</f>
        <v>943.26069688201528</v>
      </c>
      <c r="AV21" s="142">
        <f>AU21/2182</f>
        <v>0.4322917950879997</v>
      </c>
      <c r="AW21" s="226">
        <f>AU21/4.2</f>
        <v>224.58588021000364</v>
      </c>
      <c r="AX21" s="142"/>
      <c r="AY21" s="135"/>
      <c r="AZ21" s="97"/>
      <c r="BA21" s="143">
        <v>0</v>
      </c>
      <c r="BB21" s="144">
        <f>M21*BA21*'Global Inputs'!$C$5</f>
        <v>0</v>
      </c>
      <c r="BC21" s="140"/>
      <c r="BD21" s="140">
        <f>Y21-BC21</f>
        <v>226.04021829169983</v>
      </c>
      <c r="BE21" s="141"/>
      <c r="BF21" s="141">
        <f>Z21-BE21</f>
        <v>25.553662691652473</v>
      </c>
      <c r="BG21" s="142"/>
      <c r="BH21" s="141"/>
      <c r="BI21" s="142"/>
      <c r="BJ21" s="135"/>
      <c r="BK21" s="199">
        <v>0</v>
      </c>
      <c r="BL21" s="143">
        <v>0</v>
      </c>
      <c r="BM21" s="144">
        <f>J21*BL21*'Global Inputs'!$C$5</f>
        <v>0</v>
      </c>
      <c r="BN21" s="139"/>
      <c r="BO21" s="139"/>
      <c r="BP21" s="146"/>
      <c r="BQ21" s="146"/>
      <c r="BR21" s="147"/>
      <c r="BS21" s="148"/>
      <c r="BT21" s="147"/>
      <c r="BU21" s="135"/>
      <c r="BV21" s="199">
        <v>0.93</v>
      </c>
      <c r="BW21" s="143">
        <f>320/10.7639</f>
        <v>29.729001570062895</v>
      </c>
      <c r="BX21" s="144">
        <f>K21*BW21*'Global Inputs'!$C$5</f>
        <v>2734231.0070657893</v>
      </c>
      <c r="BY21" s="139">
        <f>((K21)*('Global Inputs'!$C$36)*(24))/BV21/277777.777777777</f>
        <v>3413.3787088208496</v>
      </c>
      <c r="BZ21" s="139">
        <f>U21-BY21</f>
        <v>8343.8052158149021</v>
      </c>
      <c r="CA21" s="146">
        <f>(K21*42/BV21)/1000</f>
        <v>385.87937599718799</v>
      </c>
      <c r="CB21" s="146">
        <f>V21-CA21</f>
        <v>943.26069688201528</v>
      </c>
      <c r="CC21" s="147"/>
      <c r="CD21" s="148">
        <f>CB21/4.2</f>
        <v>224.58588021000364</v>
      </c>
      <c r="CE21" s="147"/>
      <c r="CF21" s="135"/>
      <c r="CG21" s="199"/>
      <c r="CH21" s="198"/>
      <c r="CI21" s="149"/>
      <c r="CJ21" s="139"/>
      <c r="CK21" s="139"/>
      <c r="CL21" s="146"/>
      <c r="CM21" s="146"/>
      <c r="CN21" s="147"/>
      <c r="CO21" s="148"/>
      <c r="CP21" s="147"/>
      <c r="CQ21" s="135"/>
      <c r="CR21" s="200"/>
      <c r="CS21" s="201">
        <v>1122608</v>
      </c>
      <c r="CT21" s="139"/>
      <c r="CU21" s="139"/>
      <c r="CV21" s="146"/>
      <c r="CW21" s="139"/>
      <c r="CX21" s="147"/>
      <c r="CY21" s="135"/>
      <c r="CZ21" s="152">
        <f>SUM(BN21,BY21,CJ21)</f>
        <v>3413.3787088208496</v>
      </c>
      <c r="DA21" s="152">
        <f>CZ21-AB21</f>
        <v>-8569.8454341066026</v>
      </c>
      <c r="DB21" s="135"/>
    </row>
    <row r="22" spans="1:106" ht="31.5" x14ac:dyDescent="0.3">
      <c r="A22" s="46" t="str">
        <f>IF('Building Typology'!A22=0," ",'Building Typology'!A22)</f>
        <v>Post-2004 condo</v>
      </c>
      <c r="B22" s="135"/>
      <c r="C22" s="136">
        <v>2.6</v>
      </c>
      <c r="D22" s="136"/>
      <c r="E22" s="137">
        <v>0.8</v>
      </c>
      <c r="F22" s="137"/>
      <c r="G22" s="231">
        <v>1</v>
      </c>
      <c r="H22" s="72">
        <f>(SQRT('Building Typology'!H22/G22)*2)*(1+G22)*(1-F22)</f>
        <v>109.54451150103323</v>
      </c>
      <c r="I22" s="72">
        <f>H22*(C22*'Building Typology'!I22)</f>
        <v>8544.4718970805916</v>
      </c>
      <c r="J22" s="72">
        <f>I22-K22</f>
        <v>1708.8943794161178</v>
      </c>
      <c r="K22" s="72">
        <f>I22*E22</f>
        <v>6835.5775176644738</v>
      </c>
      <c r="L22" s="72">
        <f>H22*D22</f>
        <v>0</v>
      </c>
      <c r="M22" s="72">
        <f>'Building Typology'!H22</f>
        <v>750</v>
      </c>
      <c r="N22" s="72">
        <f>'Building Typology'!H22</f>
        <v>750</v>
      </c>
      <c r="O22" s="135"/>
      <c r="P22" s="185">
        <v>0.7</v>
      </c>
      <c r="Q22" s="139">
        <f>IF(P22=0,0,((J22)*'Global Inputs'!$C$36*(24))/P22/277778)</f>
        <v>906.98275990047239</v>
      </c>
      <c r="R22" s="139">
        <f>IF(P22=0,0,(J22*42/P22)/1000)</f>
        <v>102.53366276496709</v>
      </c>
      <c r="S22" s="135"/>
      <c r="T22" s="219">
        <v>0.27</v>
      </c>
      <c r="U22" s="139">
        <f>IF(T22=0,0,((K22)*'Global Inputs'!$C$36*(24))/T22/277778)</f>
        <v>9405.7471397086047</v>
      </c>
      <c r="V22" s="139">
        <f>IF(T22=0,0,(K22*42/T22)/1000)</f>
        <v>1063.3120583033626</v>
      </c>
      <c r="W22" s="135"/>
      <c r="X22" s="185">
        <v>1.2326999999999999</v>
      </c>
      <c r="Y22" s="139">
        <f>IF(X22=0,0,((M22)*'Global Inputs'!$C$36*(24))/X22/277778)</f>
        <v>226.04021829169983</v>
      </c>
      <c r="Z22" s="139">
        <f>IF(X22=0,0,(M22*42/X22)/1000)</f>
        <v>25.553662691652473</v>
      </c>
      <c r="AA22" s="135"/>
      <c r="AB22" s="139">
        <f t="shared" si="16"/>
        <v>10538.770117900776</v>
      </c>
      <c r="AC22" s="135"/>
      <c r="AD22" s="219">
        <v>3.1</v>
      </c>
      <c r="AE22" s="143">
        <f>1980/10.7639</f>
        <v>183.94819721476418</v>
      </c>
      <c r="AF22" s="144">
        <f>AE22*J22*'Global Inputs'!$C$5</f>
        <v>3383610.8712439132</v>
      </c>
      <c r="AG22" s="140">
        <f>IF(AD22=0,0,((J22)*'Global Inputs'!$C$36*(24))/AD22/277777.777777777)</f>
        <v>204.80272252925096</v>
      </c>
      <c r="AH22" s="140">
        <f>Q22-AG22</f>
        <v>702.18003737122149</v>
      </c>
      <c r="AI22" s="141">
        <f t="shared" si="17"/>
        <v>23.152762559831274</v>
      </c>
      <c r="AJ22" s="141">
        <f>R22-AI22</f>
        <v>79.380900205135816</v>
      </c>
      <c r="AK22" s="142">
        <f>AJ22/2182</f>
        <v>3.6379880937275809E-2</v>
      </c>
      <c r="AL22" s="141">
        <f>AJ22/4.2</f>
        <v>18.900214334556146</v>
      </c>
      <c r="AM22" s="142">
        <f>AL22/1350.96</f>
        <v>1.3990210172437486E-2</v>
      </c>
      <c r="AN22" s="135"/>
      <c r="AO22" s="97">
        <v>0.88</v>
      </c>
      <c r="AP22" s="143">
        <f>1600/10.7639</f>
        <v>148.64500785031447</v>
      </c>
      <c r="AQ22" s="144">
        <f>AP22*K22*'Global Inputs'!$C$5</f>
        <v>10936924.028263157</v>
      </c>
      <c r="AR22" s="140">
        <f>((K22)*'Global Inputs'!$C$36*(24))/AO22/277777.777777777</f>
        <v>2885.8565447303554</v>
      </c>
      <c r="AS22" s="140">
        <f>U22-AR22</f>
        <v>6519.8905949782493</v>
      </c>
      <c r="AT22" s="141">
        <f>(K22*42/AO22)/1000</f>
        <v>326.24347243398626</v>
      </c>
      <c r="AU22" s="140">
        <f>V22-AT22</f>
        <v>737.06858586937642</v>
      </c>
      <c r="AV22" s="142">
        <f>AU22/2182</f>
        <v>0.33779495227744105</v>
      </c>
      <c r="AW22" s="226">
        <f>AU22/4.2</f>
        <v>175.49252044508961</v>
      </c>
      <c r="AX22" s="142">
        <f>AW22/1350.96</f>
        <v>0.1299020847731166</v>
      </c>
      <c r="AY22" s="135"/>
      <c r="AZ22" s="97">
        <v>5.8</v>
      </c>
      <c r="BA22" s="143">
        <v>30.658032869127361</v>
      </c>
      <c r="BB22" s="144">
        <f>M22*BA22*'Global Inputs'!$C$5</f>
        <v>247500</v>
      </c>
      <c r="BC22" s="140">
        <f>((M22)*(4300)*(24))/AZ22/277777.777777777</f>
        <v>48.041379310344965</v>
      </c>
      <c r="BD22" s="140">
        <f>Y22-BC22</f>
        <v>177.99883898135488</v>
      </c>
      <c r="BE22" s="141">
        <f>(M22*42/AZ22)/1000</f>
        <v>5.4310344827586201</v>
      </c>
      <c r="BF22" s="141">
        <f>Z22-BE22</f>
        <v>20.122628208893854</v>
      </c>
      <c r="BG22" s="142">
        <f>BF22/2182</f>
        <v>9.2221027538468628E-3</v>
      </c>
      <c r="BH22" s="141">
        <f>BF22/4.2</f>
        <v>4.7911019544985365</v>
      </c>
      <c r="BI22" s="142">
        <f>BH22/1350.96</f>
        <v>3.5464424960757806E-3</v>
      </c>
      <c r="BJ22" s="135"/>
      <c r="BK22" s="188">
        <v>3.1</v>
      </c>
      <c r="BL22" s="143">
        <f>2367.2/10.7639</f>
        <v>219.92028911454025</v>
      </c>
      <c r="BM22" s="144">
        <f>J22*BL22*'Global Inputs'!$C$5</f>
        <v>4045294.7749538333</v>
      </c>
      <c r="BN22" s="139">
        <f>IF(BK22=0,0,((J22)*('Global Inputs'!$C$36)*(24))/BK22/277777.777777777)</f>
        <v>204.80272252925096</v>
      </c>
      <c r="BO22" s="139">
        <f>Q22-BN22</f>
        <v>702.18003737122149</v>
      </c>
      <c r="BP22" s="146">
        <f>(J22*42/BK22)/1000</f>
        <v>23.152762559831274</v>
      </c>
      <c r="BQ22" s="146">
        <f>R22-BP22</f>
        <v>79.380900205135816</v>
      </c>
      <c r="BR22" s="147">
        <f>BQ22/2182</f>
        <v>3.6379880937275809E-2</v>
      </c>
      <c r="BS22" s="148">
        <f>BQ22/4.2</f>
        <v>18.900214334556146</v>
      </c>
      <c r="BT22" s="147">
        <f>BS22/1350.96</f>
        <v>1.3990210172437486E-2</v>
      </c>
      <c r="BU22" s="135"/>
      <c r="BV22" s="188">
        <v>0.88</v>
      </c>
      <c r="BW22" s="143">
        <f>2044.4/10.7639</f>
        <v>189.93115878073934</v>
      </c>
      <c r="BX22" s="144">
        <f>K22*BW22*'Global Inputs'!$C$5</f>
        <v>13974654.67711325</v>
      </c>
      <c r="BY22" s="139">
        <f>((K22)*('Global Inputs'!$C$36)*(24))/BV22/277777.777777777</f>
        <v>2885.8565447303554</v>
      </c>
      <c r="BZ22" s="139">
        <f>U22-BY22</f>
        <v>6519.8905949782493</v>
      </c>
      <c r="CA22" s="146">
        <f>(K22*42/BV22)/1000</f>
        <v>326.24347243398626</v>
      </c>
      <c r="CB22" s="146">
        <f>V22-CA22</f>
        <v>737.06858586937642</v>
      </c>
      <c r="CC22" s="147">
        <f>CB22/2182</f>
        <v>0.33779495227744105</v>
      </c>
      <c r="CD22" s="148">
        <f>CB22/4.2</f>
        <v>175.49252044508961</v>
      </c>
      <c r="CE22" s="147">
        <f>CD22/1350.96</f>
        <v>0.1299020847731166</v>
      </c>
      <c r="CF22" s="135"/>
      <c r="CG22" s="188">
        <v>5.8</v>
      </c>
      <c r="CH22" s="143">
        <v>30.19351721959513</v>
      </c>
      <c r="CI22" s="149">
        <f>M22*CH22*'Global Inputs'!$C$5</f>
        <v>243750</v>
      </c>
      <c r="CJ22" s="139">
        <f>((M22)*('Global Inputs'!$C$36)*(24))/CG22/277777.777777777</f>
        <v>48.041379310344965</v>
      </c>
      <c r="CK22" s="139">
        <f>Y22-CJ22</f>
        <v>177.99883898135488</v>
      </c>
      <c r="CL22" s="146">
        <f>(M22*42/CG22)/1000</f>
        <v>5.4310344827586201</v>
      </c>
      <c r="CM22" s="146">
        <f>Z22-CL22</f>
        <v>20.122628208893854</v>
      </c>
      <c r="CN22" s="147">
        <f>CM22/2182</f>
        <v>9.2221027538468628E-3</v>
      </c>
      <c r="CO22" s="148">
        <f>CM22/4.2</f>
        <v>4.7911019544985365</v>
      </c>
      <c r="CP22" s="147">
        <f>CO22/1350.96</f>
        <v>3.5464424960757806E-3</v>
      </c>
      <c r="CQ22" s="135"/>
      <c r="CR22" s="190">
        <v>0.82</v>
      </c>
      <c r="CS22" s="191"/>
      <c r="CT22" s="139" t="s">
        <v>292</v>
      </c>
      <c r="CU22" s="139">
        <f>'Building Typology'!L22*50*0.024*CR22</f>
        <v>301.66170379746836</v>
      </c>
      <c r="CV22" s="146">
        <f>CU22/'Building Typology'!AM22</f>
        <v>0.13839662447257384</v>
      </c>
      <c r="CW22" s="139">
        <f>CU22/CR22</f>
        <v>367.88012658227854</v>
      </c>
      <c r="CX22" s="147">
        <f>CW22/'Building Typology'!AM22</f>
        <v>0.1687763713080169</v>
      </c>
      <c r="CY22" s="135"/>
      <c r="CZ22" s="152">
        <f>SUM(BN22,BY22,CJ22)</f>
        <v>3138.700646569951</v>
      </c>
      <c r="DA22" s="152">
        <f>CZ22-AB22</f>
        <v>-7400.0694713308258</v>
      </c>
      <c r="DB22" s="135"/>
    </row>
    <row r="23" spans="1:106" x14ac:dyDescent="0.3">
      <c r="A23" s="44" t="str">
        <f>IF('Building Typology'!A23=0," ",'Building Typology'!A23)</f>
        <v xml:space="preserve"> </v>
      </c>
      <c r="B23" s="135"/>
      <c r="C23" s="153"/>
      <c r="D23" s="153"/>
      <c r="E23" s="154"/>
      <c r="F23" s="154"/>
      <c r="G23" s="232"/>
      <c r="H23" s="154"/>
      <c r="I23" s="45"/>
      <c r="J23" s="45"/>
      <c r="K23" s="45"/>
      <c r="L23" s="45"/>
      <c r="M23" s="45"/>
      <c r="N23" s="45"/>
      <c r="O23" s="135"/>
      <c r="P23" s="135"/>
      <c r="Q23" s="155"/>
      <c r="R23" s="155"/>
      <c r="S23" s="135"/>
      <c r="T23" s="217"/>
      <c r="U23" s="155"/>
      <c r="V23" s="155"/>
      <c r="W23" s="135"/>
      <c r="X23" s="135"/>
      <c r="Y23" s="155"/>
      <c r="Z23" s="155"/>
      <c r="AA23" s="135"/>
      <c r="AB23" s="155"/>
      <c r="AC23" s="135"/>
      <c r="AD23" s="217"/>
      <c r="AE23" s="161"/>
      <c r="AF23" s="162"/>
      <c r="AG23" s="158"/>
      <c r="AH23" s="158"/>
      <c r="AI23" s="159"/>
      <c r="AJ23" s="159"/>
      <c r="AK23" s="160"/>
      <c r="AL23" s="159"/>
      <c r="AM23" s="160"/>
      <c r="AN23" s="135"/>
      <c r="AO23" s="156"/>
      <c r="AP23" s="161"/>
      <c r="AQ23" s="162"/>
      <c r="AR23" s="157"/>
      <c r="AS23" s="158"/>
      <c r="AT23" s="159"/>
      <c r="AU23" s="158"/>
      <c r="AV23" s="160"/>
      <c r="AW23" s="227"/>
      <c r="AX23" s="160"/>
      <c r="AY23" s="135"/>
      <c r="AZ23" s="156"/>
      <c r="BA23" s="161"/>
      <c r="BB23" s="162"/>
      <c r="BC23" s="158"/>
      <c r="BD23" s="158"/>
      <c r="BE23" s="159"/>
      <c r="BF23" s="159"/>
      <c r="BG23" s="160"/>
      <c r="BH23" s="159"/>
      <c r="BI23" s="160"/>
      <c r="BJ23" s="135"/>
      <c r="BK23" s="163"/>
      <c r="BL23" s="161"/>
      <c r="BM23" s="162"/>
      <c r="BN23" s="155"/>
      <c r="BO23" s="155"/>
      <c r="BP23" s="164"/>
      <c r="BQ23" s="164"/>
      <c r="BR23" s="165"/>
      <c r="BS23" s="166"/>
      <c r="BT23" s="165"/>
      <c r="BU23" s="135"/>
      <c r="BV23" s="163"/>
      <c r="BW23" s="161"/>
      <c r="BX23" s="162"/>
      <c r="BY23" s="155"/>
      <c r="BZ23" s="155"/>
      <c r="CA23" s="164"/>
      <c r="CB23" s="164"/>
      <c r="CC23" s="165"/>
      <c r="CD23" s="166"/>
      <c r="CE23" s="165"/>
      <c r="CF23" s="135"/>
      <c r="CG23" s="163"/>
      <c r="CH23" s="161"/>
      <c r="CI23" s="168"/>
      <c r="CJ23" s="155"/>
      <c r="CK23" s="155"/>
      <c r="CL23" s="164"/>
      <c r="CM23" s="164"/>
      <c r="CN23" s="165"/>
      <c r="CO23" s="166"/>
      <c r="CP23" s="165"/>
      <c r="CQ23" s="135"/>
      <c r="CR23" s="160"/>
      <c r="CS23" s="169"/>
      <c r="CT23" s="155"/>
      <c r="CU23" s="155"/>
      <c r="CV23" s="164"/>
      <c r="CW23" s="155"/>
      <c r="CX23" s="165"/>
      <c r="CY23" s="135"/>
      <c r="CZ23" s="170"/>
      <c r="DA23" s="170"/>
      <c r="DB23" s="135"/>
    </row>
    <row r="24" spans="1:106" ht="16.5" x14ac:dyDescent="0.3">
      <c r="A24" s="98" t="str">
        <f>IF('Building Typology'!A24=0," ",'Building Typology'!A24)</f>
        <v>RESIDENTIAL</v>
      </c>
      <c r="B24" s="129"/>
      <c r="C24" s="171"/>
      <c r="D24" s="171"/>
      <c r="E24" s="172"/>
      <c r="F24" s="172"/>
      <c r="G24" s="233"/>
      <c r="H24" s="172"/>
      <c r="I24" s="72"/>
      <c r="J24" s="72"/>
      <c r="K24" s="72"/>
      <c r="L24" s="72"/>
      <c r="M24" s="72"/>
      <c r="N24" s="72"/>
      <c r="O24" s="129"/>
      <c r="P24" s="130"/>
      <c r="Q24" s="192"/>
      <c r="R24" s="192"/>
      <c r="S24" s="129"/>
      <c r="T24" s="218"/>
      <c r="U24" s="192"/>
      <c r="V24" s="192"/>
      <c r="W24" s="129"/>
      <c r="X24" s="130"/>
      <c r="Y24" s="192"/>
      <c r="Z24" s="192"/>
      <c r="AA24" s="129"/>
      <c r="AB24" s="192"/>
      <c r="AC24" s="129"/>
      <c r="AD24" s="218"/>
      <c r="AE24" s="178"/>
      <c r="AF24" s="179"/>
      <c r="AG24" s="175"/>
      <c r="AH24" s="175"/>
      <c r="AI24" s="176"/>
      <c r="AJ24" s="176"/>
      <c r="AK24" s="177"/>
      <c r="AL24" s="176"/>
      <c r="AM24" s="177"/>
      <c r="AN24" s="129"/>
      <c r="AO24" s="132"/>
      <c r="AP24" s="178"/>
      <c r="AQ24" s="179"/>
      <c r="AR24" s="175"/>
      <c r="AS24" s="175"/>
      <c r="AT24" s="176"/>
      <c r="AU24" s="175"/>
      <c r="AV24" s="177"/>
      <c r="AW24" s="228"/>
      <c r="AX24" s="177"/>
      <c r="AY24" s="129"/>
      <c r="AZ24" s="132"/>
      <c r="BA24" s="178"/>
      <c r="BB24" s="179"/>
      <c r="BC24" s="175"/>
      <c r="BD24" s="175"/>
      <c r="BE24" s="176"/>
      <c r="BF24" s="176"/>
      <c r="BG24" s="177"/>
      <c r="BH24" s="176"/>
      <c r="BI24" s="177"/>
      <c r="BJ24" s="129"/>
      <c r="BK24" s="180"/>
      <c r="BL24" s="178"/>
      <c r="BM24" s="179"/>
      <c r="BN24" s="192"/>
      <c r="BO24" s="192"/>
      <c r="BP24" s="193"/>
      <c r="BQ24" s="193"/>
      <c r="BR24" s="194"/>
      <c r="BS24" s="195"/>
      <c r="BT24" s="194"/>
      <c r="BU24" s="129"/>
      <c r="BV24" s="180"/>
      <c r="BW24" s="178"/>
      <c r="BX24" s="179"/>
      <c r="BY24" s="192"/>
      <c r="BZ24" s="192"/>
      <c r="CA24" s="193"/>
      <c r="CB24" s="193"/>
      <c r="CC24" s="194"/>
      <c r="CD24" s="195"/>
      <c r="CE24" s="194"/>
      <c r="CF24" s="129"/>
      <c r="CG24" s="180"/>
      <c r="CH24" s="178"/>
      <c r="CI24" s="196"/>
      <c r="CJ24" s="192"/>
      <c r="CK24" s="192"/>
      <c r="CL24" s="193"/>
      <c r="CM24" s="193"/>
      <c r="CN24" s="194"/>
      <c r="CO24" s="195"/>
      <c r="CP24" s="194"/>
      <c r="CQ24" s="129"/>
      <c r="CR24" s="177"/>
      <c r="CS24" s="183"/>
      <c r="CT24" s="192"/>
      <c r="CU24" s="192"/>
      <c r="CV24" s="193"/>
      <c r="CW24" s="192"/>
      <c r="CX24" s="194"/>
      <c r="CY24" s="129"/>
      <c r="CZ24" s="184"/>
      <c r="DA24" s="184"/>
      <c r="DB24" s="129"/>
    </row>
    <row r="25" spans="1:106" ht="31.5" x14ac:dyDescent="0.3">
      <c r="A25" s="46" t="str">
        <f>IF('Building Typology'!A25=0," ",'Building Typology'!A25)</f>
        <v>Typical house
(Pitched Roof)(Int. Wall Reno)</v>
      </c>
      <c r="B25" s="129"/>
      <c r="C25" s="136">
        <v>3</v>
      </c>
      <c r="D25" s="136">
        <v>0.5</v>
      </c>
      <c r="E25" s="137">
        <v>0.2</v>
      </c>
      <c r="F25" s="137">
        <v>0.25</v>
      </c>
      <c r="G25" s="231">
        <v>1</v>
      </c>
      <c r="H25" s="72">
        <f>(SQRT('Building Typology'!H25/G25)*2)*(1+G25)*(1-F25)</f>
        <v>28.460498941515414</v>
      </c>
      <c r="I25" s="72">
        <f>H25*(C25*'Building Typology'!I25)</f>
        <v>213.4537420613656</v>
      </c>
      <c r="J25" s="72">
        <f>I25-K25</f>
        <v>170.76299364909249</v>
      </c>
      <c r="K25" s="72">
        <f>I25*E25</f>
        <v>42.690748412273123</v>
      </c>
      <c r="L25" s="72">
        <f>H25*D25</f>
        <v>14.230249470757707</v>
      </c>
      <c r="M25" s="72">
        <f>(SQRT('Building Typology'!H25/G25)*G25)*(SQRT(180)/12*(SQRT('Building Typology'!H25/G25)))</f>
        <v>100.62305898749054</v>
      </c>
      <c r="N25" s="72">
        <f>'Building Typology'!H25</f>
        <v>90</v>
      </c>
      <c r="O25" s="129"/>
      <c r="P25" s="185">
        <v>0.6</v>
      </c>
      <c r="Q25" s="139">
        <f>IF(P25=0,0,((J25)*'Global Inputs'!$C$36*(24))/P25/277778)</f>
        <v>105.7363610784292</v>
      </c>
      <c r="R25" s="139">
        <f>IF(P25=0,0,(J25*42/P25)/1000)</f>
        <v>11.953409555436474</v>
      </c>
      <c r="S25" s="129"/>
      <c r="T25" s="219">
        <v>0.27</v>
      </c>
      <c r="U25" s="139">
        <f>IF(T25=0,0,((K25)*'Global Inputs'!$C$36*(24))/T25/277778)</f>
        <v>58.742422821349557</v>
      </c>
      <c r="V25" s="139">
        <f>IF(T25=0,0,(K25*42/T25)/1000)</f>
        <v>6.6407830863535962</v>
      </c>
      <c r="W25" s="129"/>
      <c r="X25" s="185">
        <v>4.2</v>
      </c>
      <c r="Y25" s="139">
        <f>IF(X25=0,0,((M25)*'Global Inputs'!$C$36*(24))/X25/277778)</f>
        <v>8.9008211829222166</v>
      </c>
      <c r="Z25" s="139">
        <f>IF(X25=0,0,(M25*42/X25)/1000)</f>
        <v>1.0062305898749053</v>
      </c>
      <c r="AA25" s="129"/>
      <c r="AB25" s="139">
        <f>Y25+Q25+U25</f>
        <v>173.37960508270098</v>
      </c>
      <c r="AC25" s="129"/>
      <c r="AD25" s="219">
        <v>2.1</v>
      </c>
      <c r="AE25" s="143">
        <v>21</v>
      </c>
      <c r="AF25" s="144">
        <f>AE25*J25*'Global Inputs'!$C$5</f>
        <v>38599.591534128798</v>
      </c>
      <c r="AG25" s="140">
        <f>IF(AD25=0,0,((J25)*'Global Inputs'!$C$36*(24))/AD25/277777.777777777)</f>
        <v>30.210413047862385</v>
      </c>
      <c r="AH25" s="140">
        <f>Q25-AG25</f>
        <v>75.525948030566809</v>
      </c>
      <c r="AI25" s="141">
        <f t="shared" ref="AI25:AI26" si="18">IF(AD25=0,0,(J25*42/AD25)/1000)</f>
        <v>3.4152598729818497</v>
      </c>
      <c r="AJ25" s="141">
        <f>R25-AI25</f>
        <v>8.538149682454625</v>
      </c>
      <c r="AK25" s="142">
        <f>AJ25/24</f>
        <v>0.35575623676894269</v>
      </c>
      <c r="AL25" s="141">
        <f>AJ25/4.2</f>
        <v>2.0328927815368152</v>
      </c>
      <c r="AM25" s="142">
        <f>AL25/12.73</f>
        <v>0.15969307003431382</v>
      </c>
      <c r="AN25" s="129"/>
      <c r="AO25" s="186">
        <v>0.77</v>
      </c>
      <c r="AP25" s="143">
        <f>475/10.7639</f>
        <v>44.128986705562113</v>
      </c>
      <c r="AQ25" s="144">
        <f>AP25*K25*'Global Inputs'!$C$5</f>
        <v>20278.105495829732</v>
      </c>
      <c r="AR25" s="140"/>
      <c r="AS25" s="140"/>
      <c r="AT25" s="141"/>
      <c r="AU25" s="140"/>
      <c r="AV25" s="142"/>
      <c r="AW25" s="226"/>
      <c r="AX25" s="142"/>
      <c r="AY25" s="129"/>
      <c r="AZ25" s="202">
        <f>X25+9</f>
        <v>13.2</v>
      </c>
      <c r="BA25" s="143">
        <v>13</v>
      </c>
      <c r="BB25" s="144">
        <f>M25*BA25*'Global Inputs'!$C$5</f>
        <v>14080.255080260842</v>
      </c>
      <c r="BC25" s="140">
        <f>((M25)*(4300)*(24))/AZ25/277777.777777777</f>
        <v>2.8320817329570147</v>
      </c>
      <c r="BD25" s="140">
        <f>Y25-BC25</f>
        <v>6.0687394499652019</v>
      </c>
      <c r="BE25" s="141">
        <f>(M25*42/AZ25)/1000</f>
        <v>0.32016427859656083</v>
      </c>
      <c r="BF25" s="141">
        <f>Z25-BE25</f>
        <v>0.6860663112783445</v>
      </c>
      <c r="BG25" s="142">
        <f>BF25/24</f>
        <v>2.8586096303264353E-2</v>
      </c>
      <c r="BH25" s="141">
        <f>BF25/4.2</f>
        <v>0.16334912173293917</v>
      </c>
      <c r="BI25" s="142">
        <f>BH25/12.73</f>
        <v>1.2831824173836541E-2</v>
      </c>
      <c r="BJ25" s="129"/>
      <c r="BK25" s="188">
        <v>2.1</v>
      </c>
      <c r="BL25" s="143">
        <f>135/10.7639</f>
        <v>12.541922537370285</v>
      </c>
      <c r="BM25" s="144">
        <f>J25*BL25*'Global Inputs'!$C$5</f>
        <v>23053.004142627487</v>
      </c>
      <c r="BN25" s="139">
        <f>IF(BK25=0,0,((J25)*('Global Inputs'!$C$36)*(24))/BK25/277777.777777777)</f>
        <v>30.210413047862385</v>
      </c>
      <c r="BO25" s="139">
        <f>Q25-BN25</f>
        <v>75.525948030566809</v>
      </c>
      <c r="BP25" s="146">
        <f>(J25*42/BK25)/1000</f>
        <v>3.4152598729818497</v>
      </c>
      <c r="BQ25" s="146">
        <f>R25-BP25</f>
        <v>8.538149682454625</v>
      </c>
      <c r="BR25" s="147">
        <f>BQ25/24</f>
        <v>0.35575623676894269</v>
      </c>
      <c r="BS25" s="148">
        <f>BQ25/4.2</f>
        <v>2.0328927815368152</v>
      </c>
      <c r="BT25" s="147">
        <f>BS25/12.73</f>
        <v>0.15969307003431382</v>
      </c>
      <c r="BU25" s="129"/>
      <c r="BV25" s="188"/>
      <c r="BW25" s="143">
        <f>575/10.7639</f>
        <v>53.419299696206764</v>
      </c>
      <c r="BX25" s="144">
        <f>K25*BW25*'Global Inputs'!$C$5</f>
        <v>24547.180337057041</v>
      </c>
      <c r="BY25" s="139"/>
      <c r="BZ25" s="139"/>
      <c r="CA25" s="146"/>
      <c r="CB25" s="146"/>
      <c r="CC25" s="147"/>
      <c r="CD25" s="148"/>
      <c r="CE25" s="147"/>
      <c r="CF25" s="129"/>
      <c r="CG25" s="188">
        <f>X25+9</f>
        <v>13.2</v>
      </c>
      <c r="CH25" s="143">
        <v>4.4345760675343824</v>
      </c>
      <c r="CI25" s="149">
        <f>M25*CH25*'Global Inputs'!$C$5</f>
        <v>4803.0740156695483</v>
      </c>
      <c r="CJ25" s="139">
        <f>((M25)*('Global Inputs'!$C$36)*(24))/CG25/277777.777777777</f>
        <v>2.8320817329570147</v>
      </c>
      <c r="CK25" s="139">
        <f>Y25-CJ25</f>
        <v>6.0687394499652019</v>
      </c>
      <c r="CL25" s="146">
        <f>(M25*42/CG25)/1000</f>
        <v>0.32016427859656083</v>
      </c>
      <c r="CM25" s="146">
        <f>Z25-CL25</f>
        <v>0.6860663112783445</v>
      </c>
      <c r="CN25" s="147">
        <f>CM25/24</f>
        <v>2.8586096303264353E-2</v>
      </c>
      <c r="CO25" s="148">
        <f>CM25/4.2</f>
        <v>0.16334912173293917</v>
      </c>
      <c r="CP25" s="147">
        <f>CO25/12.73</f>
        <v>1.2831824173836541E-2</v>
      </c>
      <c r="CQ25" s="129"/>
      <c r="CR25" s="190"/>
      <c r="CS25" s="191">
        <v>3500</v>
      </c>
      <c r="CT25" s="139"/>
      <c r="CU25" s="139"/>
      <c r="CV25" s="146"/>
      <c r="CW25" s="139"/>
      <c r="CX25" s="147"/>
      <c r="CY25" s="129"/>
      <c r="CZ25" s="152">
        <f>SUM(BN25,BY25,CJ25)</f>
        <v>33.042494780819396</v>
      </c>
      <c r="DA25" s="152">
        <f>CZ25-AB25</f>
        <v>-140.33711030188158</v>
      </c>
      <c r="DB25" s="129"/>
    </row>
    <row r="26" spans="1:106" ht="31.5" x14ac:dyDescent="0.3">
      <c r="A26" s="46" t="str">
        <f>IF('Building Typology'!A26=0," ",'Building Typology'!A26)</f>
        <v>Typical house
(Flat Roof)(Ext. Wall Reno)</v>
      </c>
      <c r="B26" s="135"/>
      <c r="C26" s="136">
        <v>3</v>
      </c>
      <c r="D26" s="136">
        <v>0.5</v>
      </c>
      <c r="E26" s="137">
        <v>0.2</v>
      </c>
      <c r="F26" s="137">
        <v>0.25</v>
      </c>
      <c r="G26" s="231">
        <v>1</v>
      </c>
      <c r="H26" s="72">
        <f>(SQRT('Building Typology'!H26/G26)*2)*(1+G26)*(1-F26)</f>
        <v>28.460498941515414</v>
      </c>
      <c r="I26" s="72">
        <f>H26*(C26*'Building Typology'!I26)</f>
        <v>213.4537420613656</v>
      </c>
      <c r="J26" s="72">
        <f>I26-K26</f>
        <v>170.76299364909249</v>
      </c>
      <c r="K26" s="72">
        <f>I26*E26</f>
        <v>42.690748412273123</v>
      </c>
      <c r="L26" s="72">
        <f>H26*D26</f>
        <v>14.230249470757707</v>
      </c>
      <c r="M26" s="72">
        <f>'Building Typology'!H26</f>
        <v>90</v>
      </c>
      <c r="N26" s="72">
        <f>'Building Typology'!H26</f>
        <v>90</v>
      </c>
      <c r="O26" s="135"/>
      <c r="P26" s="185">
        <v>0.6</v>
      </c>
      <c r="Q26" s="139">
        <f>IF(P26=0,0,((J26)*'Global Inputs'!$C$36*(24))/P26/277778)</f>
        <v>105.7363610784292</v>
      </c>
      <c r="R26" s="139">
        <f>IF(P26=0,0,(J26*42/P26)/1000)</f>
        <v>11.953409555436474</v>
      </c>
      <c r="S26" s="135"/>
      <c r="T26" s="219">
        <v>0.27</v>
      </c>
      <c r="U26" s="139">
        <f>IF(T26=0,0,((K26)*'Global Inputs'!$C$36*(24))/T26/277778)</f>
        <v>58.742422821349557</v>
      </c>
      <c r="V26" s="139">
        <f>IF(T26=0,0,(K26*42/T26)/1000)</f>
        <v>6.6407830863535962</v>
      </c>
      <c r="W26" s="135"/>
      <c r="X26" s="185">
        <v>4.2</v>
      </c>
      <c r="Y26" s="139">
        <f>IF(X26=0,0,((M26)*'Global Inputs'!$C$36*(24))/X26/277778)</f>
        <v>7.9611364882336666</v>
      </c>
      <c r="Z26" s="139">
        <f>IF(X26=0,0,(M26*42/X26)/1000)</f>
        <v>0.9</v>
      </c>
      <c r="AA26" s="135"/>
      <c r="AB26" s="139">
        <f>Y26+Q26+U26</f>
        <v>172.43992038801241</v>
      </c>
      <c r="AC26" s="135"/>
      <c r="AD26" s="219">
        <v>3.1</v>
      </c>
      <c r="AE26" s="143">
        <v>21</v>
      </c>
      <c r="AF26" s="144">
        <f>AE26*J26*'Global Inputs'!$C$5</f>
        <v>38599.591534128798</v>
      </c>
      <c r="AG26" s="140">
        <f>IF(AD26=0,0,((J26)*'Global Inputs'!$C$36*(24))/AD26/277777.777777777)</f>
        <v>20.465118516293877</v>
      </c>
      <c r="AH26" s="140">
        <f>Q26-AG26</f>
        <v>85.271242562135313</v>
      </c>
      <c r="AI26" s="141">
        <f t="shared" si="18"/>
        <v>2.3135631397618983</v>
      </c>
      <c r="AJ26" s="141">
        <f>R26-AI26</f>
        <v>9.639846415674576</v>
      </c>
      <c r="AK26" s="142">
        <f>AJ26/24</f>
        <v>0.401660267319774</v>
      </c>
      <c r="AL26" s="141">
        <f>AJ26/4.2</f>
        <v>2.2952015275415656</v>
      </c>
      <c r="AM26" s="142">
        <f>AL26/12.73</f>
        <v>0.18029862745809627</v>
      </c>
      <c r="AN26" s="135"/>
      <c r="AO26" s="203">
        <v>0.77</v>
      </c>
      <c r="AP26" s="143">
        <f>475/10.7639</f>
        <v>44.128986705562113</v>
      </c>
      <c r="AQ26" s="144">
        <f>AP26*K26*'Global Inputs'!$C$5</f>
        <v>20278.105495829732</v>
      </c>
      <c r="AR26" s="140">
        <f>((K26)*'Global Inputs'!$C$36*(24))/AO26/277777.777777777</f>
        <v>20.59800889626981</v>
      </c>
      <c r="AS26" s="140">
        <f>U26-AR26</f>
        <v>38.144413925079746</v>
      </c>
      <c r="AT26" s="141">
        <f>(K26*42/AO26)/1000</f>
        <v>2.3285862770330792</v>
      </c>
      <c r="AU26" s="140">
        <f>V26-AT26</f>
        <v>4.3121968093205165</v>
      </c>
      <c r="AV26" s="142">
        <f>AU26/24</f>
        <v>0.17967486705502153</v>
      </c>
      <c r="AW26" s="226">
        <f>AU26/4.2</f>
        <v>1.0267135260286944</v>
      </c>
      <c r="AX26" s="142">
        <f>AW26/12.73</f>
        <v>8.0653065673895866E-2</v>
      </c>
      <c r="AY26" s="135"/>
      <c r="AZ26" s="202">
        <f>X26+9</f>
        <v>13.2</v>
      </c>
      <c r="BA26" s="143">
        <v>13</v>
      </c>
      <c r="BB26" s="144">
        <f>M26*BA26*'Global Inputs'!$C$5</f>
        <v>12593.762999999999</v>
      </c>
      <c r="BC26" s="140">
        <f>((M26)*(4300)*(24))/AZ26/277777.777777777</f>
        <v>2.5330909090909164</v>
      </c>
      <c r="BD26" s="140">
        <f>Y26-BC26</f>
        <v>5.4280455791427507</v>
      </c>
      <c r="BE26" s="141">
        <f>(M26*42/AZ26)/1000</f>
        <v>0.28636363636363638</v>
      </c>
      <c r="BF26" s="141">
        <f>Z26-BE26</f>
        <v>0.61363636363636365</v>
      </c>
      <c r="BG26" s="142">
        <f>BF26/24</f>
        <v>2.556818181818182E-2</v>
      </c>
      <c r="BH26" s="141">
        <f>BF26/4.2</f>
        <v>0.1461038961038961</v>
      </c>
      <c r="BI26" s="142">
        <f>BH26/12.73</f>
        <v>1.1477132451209434E-2</v>
      </c>
      <c r="BJ26" s="135"/>
      <c r="BK26" s="188">
        <v>3.1</v>
      </c>
      <c r="BL26" s="143">
        <f>165/10.7639</f>
        <v>15.32901643456368</v>
      </c>
      <c r="BM26" s="144">
        <f>J26*BL26*'Global Inputs'!$C$5</f>
        <v>28175.893952100261</v>
      </c>
      <c r="BN26" s="139">
        <f>IF(BK26=0,0,((J26)*('Global Inputs'!$C$36)*(24))/BK26/277777.777777777)</f>
        <v>20.465118516293877</v>
      </c>
      <c r="BO26" s="139">
        <f>Q26-BN26</f>
        <v>85.271242562135313</v>
      </c>
      <c r="BP26" s="146">
        <f>(J26*42/BK26)/1000</f>
        <v>2.3135631397618983</v>
      </c>
      <c r="BQ26" s="146">
        <f>R26-BP26</f>
        <v>9.639846415674576</v>
      </c>
      <c r="BR26" s="147">
        <f>BQ26/24</f>
        <v>0.401660267319774</v>
      </c>
      <c r="BS26" s="148">
        <f>BQ26/4.2</f>
        <v>2.2952015275415656</v>
      </c>
      <c r="BT26" s="147">
        <f>BS26/12.73</f>
        <v>0.18029862745809627</v>
      </c>
      <c r="BU26" s="135"/>
      <c r="BV26" s="189">
        <v>1.04</v>
      </c>
      <c r="BW26" s="143">
        <f>575/10.7639</f>
        <v>53.419299696206764</v>
      </c>
      <c r="BX26" s="144">
        <f>K26*BW26*'Global Inputs'!$C$5</f>
        <v>24547.180337057041</v>
      </c>
      <c r="BY26" s="139">
        <f>((K26)*('Global Inputs'!$C$36)*(24))/BV26/277777.777777777</f>
        <v>15.250448894353609</v>
      </c>
      <c r="BZ26" s="139">
        <f>U26-BY26</f>
        <v>43.491973926995946</v>
      </c>
      <c r="CA26" s="146">
        <f>(K26*42/BV26)/1000</f>
        <v>1.7240494551110299</v>
      </c>
      <c r="CB26" s="146">
        <f>V26-CA26</f>
        <v>4.9167336312425665</v>
      </c>
      <c r="CC26" s="147">
        <f>CB26/24</f>
        <v>0.20486390130177359</v>
      </c>
      <c r="CD26" s="148">
        <f>CB26/4.2</f>
        <v>1.1706508645815634</v>
      </c>
      <c r="CE26" s="147">
        <f>CD26/12.73</f>
        <v>9.1960005073178586E-2</v>
      </c>
      <c r="CF26" s="135"/>
      <c r="CG26" s="188">
        <f>X26+7</f>
        <v>11.2</v>
      </c>
      <c r="CH26" s="143">
        <v>17.976755636897408</v>
      </c>
      <c r="CI26" s="149">
        <f>M26*CH26*'Global Inputs'!$C$5</f>
        <v>17415</v>
      </c>
      <c r="CJ26" s="139">
        <f>((M26)*('Global Inputs'!$C$36)*(24))/CG26/277777.777777777</f>
        <v>2.9854285714285798</v>
      </c>
      <c r="CK26" s="139">
        <f>Y26-CJ26</f>
        <v>4.9757079168050868</v>
      </c>
      <c r="CL26" s="146">
        <f>(M26*42/CG26)/1000</f>
        <v>0.33750000000000002</v>
      </c>
      <c r="CM26" s="146">
        <f>Z26-CL26</f>
        <v>0.5625</v>
      </c>
      <c r="CN26" s="147">
        <f>CM26/24</f>
        <v>2.34375E-2</v>
      </c>
      <c r="CO26" s="148">
        <f>CM26/4.2</f>
        <v>0.13392857142857142</v>
      </c>
      <c r="CP26" s="147">
        <f>CO26/12.73</f>
        <v>1.0520704746941981E-2</v>
      </c>
      <c r="CQ26" s="135"/>
      <c r="CR26" s="190">
        <v>0.82</v>
      </c>
      <c r="CS26" s="191">
        <v>3500</v>
      </c>
      <c r="CT26" s="139">
        <f>'Building Typology'!K26*(0.1)</f>
        <v>242.18775000000002</v>
      </c>
      <c r="CU26" s="139">
        <f>CT26*0.024*CR26</f>
        <v>4.7662549200000006</v>
      </c>
      <c r="CV26" s="146">
        <f>CU26/'Building Typology'!AM26</f>
        <v>0.19680000000000003</v>
      </c>
      <c r="CW26" s="139">
        <f>CU26/CR26</f>
        <v>5.8125060000000008</v>
      </c>
      <c r="CX26" s="147">
        <f>CW26/'Building Typology'!AM26</f>
        <v>0.24000000000000002</v>
      </c>
      <c r="CY26" s="135"/>
      <c r="CZ26" s="152">
        <f>SUM(BN26,BY26,CJ26)</f>
        <v>38.700995982076066</v>
      </c>
      <c r="DA26" s="152">
        <f>CZ26-AB26</f>
        <v>-133.73892440593636</v>
      </c>
      <c r="DB26" s="135"/>
    </row>
    <row r="27" spans="1:106" x14ac:dyDescent="0.3">
      <c r="A27" s="44" t="str">
        <f>IF('Building Typology'!A27=0," ",'Building Typology'!A27)</f>
        <v xml:space="preserve"> </v>
      </c>
      <c r="B27" s="156"/>
      <c r="C27" s="153"/>
      <c r="D27" s="153"/>
      <c r="E27" s="154"/>
      <c r="F27" s="154"/>
      <c r="G27" s="232"/>
      <c r="H27" s="154"/>
      <c r="I27" s="45"/>
      <c r="J27" s="45"/>
      <c r="K27" s="45"/>
      <c r="L27" s="45"/>
      <c r="M27" s="45"/>
      <c r="N27" s="45"/>
      <c r="O27" s="156"/>
      <c r="P27" s="156"/>
      <c r="Q27" s="156"/>
      <c r="R27" s="156"/>
      <c r="S27" s="156"/>
      <c r="T27" s="156"/>
      <c r="U27" s="156"/>
      <c r="V27" s="156"/>
      <c r="W27" s="156"/>
      <c r="X27" s="156"/>
      <c r="Y27" s="156"/>
      <c r="Z27" s="156"/>
      <c r="AA27" s="156"/>
      <c r="AB27" s="156"/>
      <c r="AC27" s="156"/>
      <c r="AD27" s="156"/>
      <c r="AE27" s="161"/>
      <c r="AF27" s="169"/>
      <c r="AG27" s="135"/>
      <c r="AH27" s="135"/>
      <c r="AI27" s="135"/>
      <c r="AJ27" s="135"/>
      <c r="AK27" s="135"/>
      <c r="AL27" s="135"/>
      <c r="AM27" s="135"/>
      <c r="AN27" s="156"/>
      <c r="AO27" s="135"/>
      <c r="AP27" s="161"/>
      <c r="AQ27" s="169"/>
      <c r="AR27" s="135"/>
      <c r="AS27" s="229"/>
      <c r="AT27" s="135"/>
      <c r="AU27" s="229"/>
      <c r="AV27" s="135"/>
      <c r="AW27" s="170"/>
      <c r="AX27" s="135"/>
      <c r="AY27" s="156"/>
      <c r="AZ27" s="135"/>
      <c r="BA27" s="161"/>
      <c r="BB27" s="169"/>
      <c r="BC27" s="135"/>
      <c r="BD27" s="135"/>
      <c r="BE27" s="135"/>
      <c r="BF27" s="135"/>
      <c r="BG27" s="135"/>
      <c r="BH27" s="135"/>
      <c r="BI27" s="135"/>
      <c r="BJ27" s="156"/>
      <c r="BK27" s="135"/>
      <c r="BL27" s="161"/>
      <c r="BM27" s="169"/>
      <c r="BN27" s="135"/>
      <c r="BO27" s="135"/>
      <c r="BP27" s="135"/>
      <c r="BQ27" s="135"/>
      <c r="BR27" s="160"/>
      <c r="BS27" s="135"/>
      <c r="BT27" s="160"/>
      <c r="BU27" s="156"/>
      <c r="BV27" s="135"/>
      <c r="BW27" s="161"/>
      <c r="BX27" s="169"/>
      <c r="BY27" s="135"/>
      <c r="BZ27" s="135"/>
      <c r="CA27" s="135"/>
      <c r="CB27" s="135"/>
      <c r="CC27" s="160"/>
      <c r="CD27" s="135"/>
      <c r="CE27" s="160"/>
      <c r="CF27" s="156"/>
      <c r="CG27" s="161"/>
      <c r="CH27" s="161"/>
      <c r="CI27" s="161"/>
      <c r="CJ27" s="135"/>
      <c r="CK27" s="135"/>
      <c r="CL27" s="135"/>
      <c r="CM27" s="135"/>
      <c r="CN27" s="160"/>
      <c r="CO27" s="135"/>
      <c r="CP27" s="160"/>
      <c r="CQ27" s="156"/>
      <c r="CR27" s="135"/>
      <c r="CS27" s="167"/>
      <c r="CT27" s="135"/>
      <c r="CU27" s="135"/>
      <c r="CV27" s="135"/>
      <c r="CW27" s="135"/>
      <c r="CX27" s="160"/>
      <c r="CY27" s="156"/>
      <c r="CZ27" s="170"/>
      <c r="DA27" s="170"/>
      <c r="DB27" s="156"/>
    </row>
    <row r="28" spans="1:106" ht="16.5" x14ac:dyDescent="0.3">
      <c r="A28" s="98" t="str">
        <f>IF('Building Typology'!A28=0," ",'Building Typology'!A28)</f>
        <v>INSTITUTIONAL</v>
      </c>
      <c r="B28" s="129"/>
      <c r="C28" s="130"/>
      <c r="D28" s="130"/>
      <c r="E28" s="130"/>
      <c r="F28" s="130"/>
      <c r="G28" s="130"/>
      <c r="H28" s="130"/>
      <c r="I28" s="130"/>
      <c r="J28" s="130"/>
      <c r="K28" s="130"/>
      <c r="L28" s="130"/>
      <c r="M28" s="130"/>
      <c r="N28" s="130"/>
      <c r="O28" s="129"/>
      <c r="P28" s="130"/>
      <c r="Q28" s="131"/>
      <c r="R28" s="131"/>
      <c r="S28" s="129"/>
      <c r="T28" s="218"/>
      <c r="U28" s="131"/>
      <c r="V28" s="131"/>
      <c r="W28" s="129"/>
      <c r="X28" s="130"/>
      <c r="Y28" s="131"/>
      <c r="Z28" s="131"/>
      <c r="AA28" s="129"/>
      <c r="AB28" s="131"/>
      <c r="AC28" s="129"/>
      <c r="AD28" s="132"/>
      <c r="AE28" s="132"/>
      <c r="AF28" s="132"/>
      <c r="AG28" s="132"/>
      <c r="AH28" s="132"/>
      <c r="AI28" s="132"/>
      <c r="AJ28" s="132"/>
      <c r="AK28" s="132"/>
      <c r="AL28" s="132"/>
      <c r="AM28" s="132"/>
      <c r="AN28" s="129"/>
      <c r="AO28" s="132"/>
      <c r="AP28" s="132"/>
      <c r="AQ28" s="132"/>
      <c r="AR28" s="132"/>
      <c r="AS28" s="175"/>
      <c r="AT28" s="132"/>
      <c r="AU28" s="175"/>
      <c r="AV28" s="132"/>
      <c r="AW28" s="132"/>
      <c r="AX28" s="132"/>
      <c r="AY28" s="129"/>
      <c r="AZ28" s="132"/>
      <c r="BA28" s="132"/>
      <c r="BB28" s="132"/>
      <c r="BC28" s="132"/>
      <c r="BD28" s="132"/>
      <c r="BE28" s="132"/>
      <c r="BF28" s="132"/>
      <c r="BG28" s="132"/>
      <c r="BH28" s="132"/>
      <c r="BI28" s="132"/>
      <c r="BJ28" s="129"/>
      <c r="BK28" s="130"/>
      <c r="BL28" s="132"/>
      <c r="BM28" s="132"/>
      <c r="BN28" s="130"/>
      <c r="BO28" s="131"/>
      <c r="BP28" s="131"/>
      <c r="BQ28" s="131"/>
      <c r="BR28" s="133"/>
      <c r="BS28" s="131"/>
      <c r="BT28" s="131"/>
      <c r="BU28" s="129"/>
      <c r="BV28" s="130"/>
      <c r="BW28" s="132"/>
      <c r="BX28" s="132"/>
      <c r="BY28" s="131"/>
      <c r="BZ28" s="131"/>
      <c r="CA28" s="131"/>
      <c r="CB28" s="131"/>
      <c r="CC28" s="131"/>
      <c r="CD28" s="131"/>
      <c r="CE28" s="131"/>
      <c r="CF28" s="129"/>
      <c r="CG28" s="130"/>
      <c r="CH28" s="130"/>
      <c r="CI28" s="130"/>
      <c r="CJ28" s="131"/>
      <c r="CK28" s="131"/>
      <c r="CL28" s="131"/>
      <c r="CM28" s="131"/>
      <c r="CN28" s="131"/>
      <c r="CO28" s="131"/>
      <c r="CP28" s="131"/>
      <c r="CQ28" s="129"/>
      <c r="CR28" s="130"/>
      <c r="CS28" s="130"/>
      <c r="CT28" s="131"/>
      <c r="CU28" s="134"/>
      <c r="CV28" s="131"/>
      <c r="CW28" s="131"/>
      <c r="CX28" s="131"/>
      <c r="CY28" s="129"/>
      <c r="CZ28" s="130"/>
      <c r="DA28" s="130"/>
      <c r="DB28" s="129"/>
    </row>
    <row r="29" spans="1:106" x14ac:dyDescent="0.3">
      <c r="A29" s="46" t="str">
        <f>IF('Building Typology'!A29=0," ",'Building Typology'!A29)</f>
        <v>High water use hospital (inpatient)</v>
      </c>
      <c r="B29" s="129"/>
      <c r="C29" s="130"/>
      <c r="D29" s="130"/>
      <c r="E29" s="130"/>
      <c r="F29" s="130"/>
      <c r="G29" s="130"/>
      <c r="H29" s="130"/>
      <c r="I29" s="130"/>
      <c r="J29" s="130"/>
      <c r="K29" s="130"/>
      <c r="L29" s="130"/>
      <c r="M29" s="130"/>
      <c r="N29" s="130"/>
      <c r="O29" s="129"/>
      <c r="P29" s="130"/>
      <c r="Q29" s="131"/>
      <c r="R29" s="131"/>
      <c r="S29" s="129"/>
      <c r="T29" s="218"/>
      <c r="U29" s="131"/>
      <c r="V29" s="131"/>
      <c r="W29" s="129"/>
      <c r="X29" s="130"/>
      <c r="Y29" s="131"/>
      <c r="Z29" s="131"/>
      <c r="AA29" s="129"/>
      <c r="AB29" s="131"/>
      <c r="AC29" s="129"/>
      <c r="AD29" s="132"/>
      <c r="AE29" s="132"/>
      <c r="AF29" s="132"/>
      <c r="AG29" s="132"/>
      <c r="AH29" s="132"/>
      <c r="AI29" s="132"/>
      <c r="AJ29" s="132"/>
      <c r="AK29" s="132"/>
      <c r="AL29" s="132"/>
      <c r="AM29" s="132"/>
      <c r="AN29" s="129"/>
      <c r="AO29" s="132"/>
      <c r="AP29" s="132"/>
      <c r="AQ29" s="132"/>
      <c r="AR29" s="132"/>
      <c r="AS29" s="175"/>
      <c r="AT29" s="132"/>
      <c r="AU29" s="175"/>
      <c r="AV29" s="132"/>
      <c r="AW29" s="132"/>
      <c r="AX29" s="132"/>
      <c r="AY29" s="129"/>
      <c r="AZ29" s="132"/>
      <c r="BA29" s="132"/>
      <c r="BB29" s="132"/>
      <c r="BC29" s="132"/>
      <c r="BD29" s="132"/>
      <c r="BE29" s="132"/>
      <c r="BF29" s="132"/>
      <c r="BG29" s="132"/>
      <c r="BH29" s="132"/>
      <c r="BI29" s="132"/>
      <c r="BJ29" s="129"/>
      <c r="BK29" s="130"/>
      <c r="BL29" s="132"/>
      <c r="BM29" s="132"/>
      <c r="BN29" s="130"/>
      <c r="BO29" s="131"/>
      <c r="BP29" s="131"/>
      <c r="BQ29" s="131"/>
      <c r="BR29" s="133"/>
      <c r="BS29" s="131"/>
      <c r="BT29" s="131"/>
      <c r="BU29" s="129"/>
      <c r="BV29" s="130"/>
      <c r="BW29" s="132"/>
      <c r="BX29" s="132"/>
      <c r="BY29" s="131"/>
      <c r="BZ29" s="131"/>
      <c r="CA29" s="131"/>
      <c r="CB29" s="131"/>
      <c r="CC29" s="131"/>
      <c r="CD29" s="131"/>
      <c r="CE29" s="131"/>
      <c r="CF29" s="129"/>
      <c r="CG29" s="130"/>
      <c r="CH29" s="130"/>
      <c r="CI29" s="130"/>
      <c r="CJ29" s="131"/>
      <c r="CK29" s="131"/>
      <c r="CL29" s="131"/>
      <c r="CM29" s="131"/>
      <c r="CN29" s="131"/>
      <c r="CO29" s="131"/>
      <c r="CP29" s="131"/>
      <c r="CQ29" s="129"/>
      <c r="CR29" s="130"/>
      <c r="CS29" s="130"/>
      <c r="CT29" s="131"/>
      <c r="CU29" s="134"/>
      <c r="CV29" s="131"/>
      <c r="CW29" s="131"/>
      <c r="CX29" s="131"/>
      <c r="CY29" s="129"/>
      <c r="CZ29" s="130"/>
      <c r="DA29" s="130"/>
      <c r="DB29" s="129"/>
    </row>
    <row r="30" spans="1:106" x14ac:dyDescent="0.3">
      <c r="A30" s="46" t="str">
        <f>IF('Building Typology'!A30=0," ",'Building Typology'!A30)</f>
        <v>Low water use hospital (outpatient)</v>
      </c>
      <c r="B30" s="129"/>
      <c r="C30" s="130"/>
      <c r="D30" s="130"/>
      <c r="E30" s="130"/>
      <c r="F30" s="130"/>
      <c r="G30" s="130"/>
      <c r="H30" s="130"/>
      <c r="I30" s="130"/>
      <c r="J30" s="130"/>
      <c r="K30" s="130"/>
      <c r="L30" s="130"/>
      <c r="M30" s="130"/>
      <c r="N30" s="130"/>
      <c r="O30" s="129"/>
      <c r="P30" s="130"/>
      <c r="Q30" s="131"/>
      <c r="R30" s="131"/>
      <c r="S30" s="129"/>
      <c r="T30" s="218"/>
      <c r="U30" s="131"/>
      <c r="V30" s="131"/>
      <c r="W30" s="129"/>
      <c r="X30" s="130"/>
      <c r="Y30" s="131"/>
      <c r="Z30" s="131"/>
      <c r="AA30" s="129"/>
      <c r="AB30" s="131"/>
      <c r="AC30" s="129"/>
      <c r="AD30" s="132"/>
      <c r="AE30" s="132"/>
      <c r="AF30" s="132"/>
      <c r="AG30" s="132"/>
      <c r="AH30" s="132"/>
      <c r="AI30" s="132"/>
      <c r="AJ30" s="132"/>
      <c r="AK30" s="132"/>
      <c r="AL30" s="132"/>
      <c r="AM30" s="132"/>
      <c r="AN30" s="129"/>
      <c r="AO30" s="132"/>
      <c r="AP30" s="132"/>
      <c r="AQ30" s="132"/>
      <c r="AR30" s="132"/>
      <c r="AS30" s="175"/>
      <c r="AT30" s="132"/>
      <c r="AU30" s="175"/>
      <c r="AV30" s="132"/>
      <c r="AW30" s="132"/>
      <c r="AX30" s="132"/>
      <c r="AY30" s="129"/>
      <c r="AZ30" s="132"/>
      <c r="BA30" s="132"/>
      <c r="BB30" s="132"/>
      <c r="BC30" s="132"/>
      <c r="BD30" s="132"/>
      <c r="BE30" s="132"/>
      <c r="BF30" s="132"/>
      <c r="BG30" s="132"/>
      <c r="BH30" s="132"/>
      <c r="BI30" s="132"/>
      <c r="BJ30" s="129"/>
      <c r="BK30" s="130"/>
      <c r="BL30" s="132"/>
      <c r="BM30" s="132"/>
      <c r="BN30" s="130"/>
      <c r="BO30" s="131"/>
      <c r="BP30" s="131"/>
      <c r="BQ30" s="131"/>
      <c r="BR30" s="133"/>
      <c r="BS30" s="131"/>
      <c r="BT30" s="131"/>
      <c r="BU30" s="129"/>
      <c r="BV30" s="130"/>
      <c r="BW30" s="132"/>
      <c r="BX30" s="132"/>
      <c r="BY30" s="131"/>
      <c r="BZ30" s="131"/>
      <c r="CA30" s="131"/>
      <c r="CB30" s="131"/>
      <c r="CC30" s="131"/>
      <c r="CD30" s="131"/>
      <c r="CE30" s="131"/>
      <c r="CF30" s="129"/>
      <c r="CG30" s="130"/>
      <c r="CH30" s="130"/>
      <c r="CI30" s="130"/>
      <c r="CJ30" s="131"/>
      <c r="CK30" s="131"/>
      <c r="CL30" s="131"/>
      <c r="CM30" s="131"/>
      <c r="CN30" s="131"/>
      <c r="CO30" s="131"/>
      <c r="CP30" s="131"/>
      <c r="CQ30" s="129"/>
      <c r="CR30" s="130"/>
      <c r="CS30" s="130"/>
      <c r="CT30" s="131"/>
      <c r="CU30" s="134"/>
      <c r="CV30" s="131"/>
      <c r="CW30" s="131"/>
      <c r="CX30" s="131"/>
      <c r="CY30" s="129"/>
      <c r="CZ30" s="130"/>
      <c r="DA30" s="130"/>
      <c r="DB30" s="129"/>
    </row>
    <row r="31" spans="1:106" x14ac:dyDescent="0.3">
      <c r="A31" s="46" t="str">
        <f>IF('Building Typology'!A31=0," ",'Building Typology'!A31)</f>
        <v>Assembly &amp; educational</v>
      </c>
      <c r="B31" s="129"/>
      <c r="C31" s="130"/>
      <c r="D31" s="130"/>
      <c r="E31" s="130"/>
      <c r="F31" s="130"/>
      <c r="G31" s="130"/>
      <c r="H31" s="130"/>
      <c r="I31" s="130"/>
      <c r="J31" s="130"/>
      <c r="K31" s="130"/>
      <c r="L31" s="130"/>
      <c r="M31" s="130"/>
      <c r="N31" s="130"/>
      <c r="O31" s="129"/>
      <c r="P31" s="130"/>
      <c r="Q31" s="131"/>
      <c r="R31" s="131"/>
      <c r="S31" s="129"/>
      <c r="T31" s="218"/>
      <c r="U31" s="131"/>
      <c r="V31" s="131"/>
      <c r="W31" s="129"/>
      <c r="X31" s="130"/>
      <c r="Y31" s="131"/>
      <c r="Z31" s="131"/>
      <c r="AA31" s="129"/>
      <c r="AB31" s="131"/>
      <c r="AC31" s="129"/>
      <c r="AD31" s="132"/>
      <c r="AE31" s="132"/>
      <c r="AF31" s="132"/>
      <c r="AG31" s="132"/>
      <c r="AH31" s="132"/>
      <c r="AI31" s="132"/>
      <c r="AJ31" s="132"/>
      <c r="AK31" s="132"/>
      <c r="AL31" s="132"/>
      <c r="AM31" s="132"/>
      <c r="AN31" s="129"/>
      <c r="AO31" s="132"/>
      <c r="AP31" s="132"/>
      <c r="AQ31" s="132"/>
      <c r="AR31" s="132"/>
      <c r="AS31" s="175"/>
      <c r="AT31" s="132"/>
      <c r="AU31" s="175"/>
      <c r="AV31" s="132"/>
      <c r="AW31" s="132"/>
      <c r="AX31" s="132"/>
      <c r="AY31" s="129"/>
      <c r="AZ31" s="132"/>
      <c r="BA31" s="132"/>
      <c r="BB31" s="132"/>
      <c r="BC31" s="132"/>
      <c r="BD31" s="132"/>
      <c r="BE31" s="132"/>
      <c r="BF31" s="132"/>
      <c r="BG31" s="132"/>
      <c r="BH31" s="132"/>
      <c r="BI31" s="132"/>
      <c r="BJ31" s="129"/>
      <c r="BK31" s="130"/>
      <c r="BL31" s="132"/>
      <c r="BM31" s="132"/>
      <c r="BN31" s="130"/>
      <c r="BO31" s="131"/>
      <c r="BP31" s="131"/>
      <c r="BQ31" s="131"/>
      <c r="BR31" s="133"/>
      <c r="BS31" s="131"/>
      <c r="BT31" s="131"/>
      <c r="BU31" s="129"/>
      <c r="BV31" s="130"/>
      <c r="BW31" s="132"/>
      <c r="BX31" s="132"/>
      <c r="BY31" s="131"/>
      <c r="BZ31" s="131"/>
      <c r="CA31" s="131"/>
      <c r="CB31" s="131"/>
      <c r="CC31" s="131"/>
      <c r="CD31" s="131"/>
      <c r="CE31" s="131"/>
      <c r="CF31" s="129"/>
      <c r="CG31" s="130"/>
      <c r="CH31" s="130"/>
      <c r="CI31" s="130"/>
      <c r="CJ31" s="131"/>
      <c r="CK31" s="131"/>
      <c r="CL31" s="131"/>
      <c r="CM31" s="131"/>
      <c r="CN31" s="131"/>
      <c r="CO31" s="131"/>
      <c r="CP31" s="131"/>
      <c r="CQ31" s="129"/>
      <c r="CR31" s="130"/>
      <c r="CS31" s="130"/>
      <c r="CT31" s="131"/>
      <c r="CU31" s="134"/>
      <c r="CV31" s="131"/>
      <c r="CW31" s="131"/>
      <c r="CX31" s="131"/>
      <c r="CY31" s="129"/>
      <c r="CZ31" s="130"/>
      <c r="DA31" s="130"/>
      <c r="DB31" s="129"/>
    </row>
    <row r="32" spans="1:106" x14ac:dyDescent="0.3">
      <c r="A32" s="44" t="str">
        <f>IF('Building Typology'!A32=0," ",'Building Typology'!A32)</f>
        <v xml:space="preserve"> </v>
      </c>
      <c r="B32" s="129"/>
      <c r="C32" s="129"/>
      <c r="D32" s="129"/>
      <c r="E32" s="129"/>
      <c r="F32" s="129"/>
      <c r="G32" s="129"/>
      <c r="H32" s="129"/>
      <c r="I32" s="129"/>
      <c r="J32" s="129"/>
      <c r="K32" s="129"/>
      <c r="L32" s="129"/>
      <c r="M32" s="129"/>
      <c r="N32" s="129"/>
      <c r="O32" s="129"/>
      <c r="P32" s="129"/>
      <c r="Q32" s="129"/>
      <c r="R32" s="129"/>
      <c r="S32" s="129"/>
      <c r="T32" s="217"/>
      <c r="U32" s="129"/>
      <c r="V32" s="129"/>
      <c r="W32" s="129"/>
      <c r="X32" s="129"/>
      <c r="Y32" s="129"/>
      <c r="Z32" s="129"/>
      <c r="AA32" s="129"/>
      <c r="AB32" s="129"/>
      <c r="AC32" s="129"/>
      <c r="AD32" s="217"/>
      <c r="AE32" s="129"/>
      <c r="AF32" s="129"/>
      <c r="AG32" s="129"/>
      <c r="AH32" s="129"/>
      <c r="AI32" s="129"/>
      <c r="AJ32" s="129"/>
      <c r="AK32" s="129"/>
      <c r="AL32" s="129"/>
      <c r="AM32" s="129"/>
      <c r="AN32" s="129"/>
      <c r="AO32" s="129"/>
      <c r="AP32" s="129"/>
      <c r="AQ32" s="129"/>
      <c r="AR32" s="129"/>
      <c r="AS32" s="230"/>
      <c r="AT32" s="129"/>
      <c r="AU32" s="230"/>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row>
    <row r="38" ht="17.25" customHeight="1" x14ac:dyDescent="0.3"/>
  </sheetData>
  <mergeCells count="1">
    <mergeCell ref="A1:A2"/>
  </mergeCells>
  <dataValidations count="1">
    <dataValidation type="decimal" allowBlank="1" showInputMessage="1" showErrorMessage="1" sqref="E5:E27" xr:uid="{08C2661C-92B5-44C6-AC5E-08AD151E74D7}">
      <formula1>0</formula1>
      <formula2>1</formula2>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893ae7-68b4-416d-becf-0fc5876f83a3">
      <Terms xmlns="http://schemas.microsoft.com/office/infopath/2007/PartnerControls"/>
    </lcf76f155ced4ddcb4097134ff3c332f>
    <TaxCatchAll xmlns="5cbbd1e2-4091-433a-97b1-41e51d4e020b" xsi:nil="true"/>
    <Date_x0020_Created xmlns="f4893ae7-68b4-416d-becf-0fc5876f83a3" xsi:nil="true"/>
    <SharedWithUsers xmlns="5cbbd1e2-4091-433a-97b1-41e51d4e020b">
      <UserInfo>
        <DisplayName>Jasmine Singh</DisplayName>
        <AccountId>11713</AccountId>
        <AccountType/>
      </UserInfo>
      <UserInfo>
        <DisplayName>Lika Miao</DisplayName>
        <AccountId>655</AccountId>
        <AccountType/>
      </UserInfo>
      <UserInfo>
        <DisplayName>Eric Chisholm</DisplayName>
        <AccountId>13</AccountId>
        <AccountType/>
      </UserInfo>
      <UserInfo>
        <DisplayName>Emma Rohmann</DisplayName>
        <AccountId>52</AccountId>
        <AccountType/>
      </UserInfo>
    </SharedWithUsers>
    <_Flow_SignoffStatus xmlns="f4893ae7-68b4-416d-becf-0fc5876f83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181F65C1398A47B01E40FBFE3221F7" ma:contentTypeVersion="22" ma:contentTypeDescription="Create a new document." ma:contentTypeScope="" ma:versionID="cb05218a5ad56ba4c69e60eaa1d6feee">
  <xsd:schema xmlns:xsd="http://www.w3.org/2001/XMLSchema" xmlns:xs="http://www.w3.org/2001/XMLSchema" xmlns:p="http://schemas.microsoft.com/office/2006/metadata/properties" xmlns:ns2="f4893ae7-68b4-416d-becf-0fc5876f83a3" xmlns:ns3="5cbbd1e2-4091-433a-97b1-41e51d4e020b" targetNamespace="http://schemas.microsoft.com/office/2006/metadata/properties" ma:root="true" ma:fieldsID="f2c756204e7474188ef8814fd1dc1a36" ns2:_="" ns3:_="">
    <xsd:import namespace="f4893ae7-68b4-416d-becf-0fc5876f83a3"/>
    <xsd:import namespace="5cbbd1e2-4091-433a-97b1-41e51d4e020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Date_x0020_Created"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93ae7-68b4-416d-becf-0fc5876f83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bb12282-6f02-4aac-8019-be515c26e8b6" ma:termSetId="09814cd3-568e-fe90-9814-8d621ff8fb84" ma:anchorId="fba54fb3-c3e1-fe81-a776-ca4b69148c4d" ma:open="true" ma:isKeyword="false">
      <xsd:complexType>
        <xsd:sequence>
          <xsd:element ref="pc:Terms" minOccurs="0" maxOccurs="1"/>
        </xsd:sequence>
      </xsd:complexType>
    </xsd:element>
    <xsd:element name="Date_x0020_Created" ma:index="24" nillable="true" ma:displayName="Date Created" ma:internalName="Date_x0020_Created">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bd1e2-4091-433a-97b1-41e51d4e020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a6611b4-fe75-49c7-a48e-627b2bab82c1}" ma:internalName="TaxCatchAll" ma:showField="CatchAllData" ma:web="5cbbd1e2-4091-433a-97b1-41e51d4e02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68A7D-1F1F-4317-8EC2-2AE5BF370C12}">
  <ds:schemaRefs>
    <ds:schemaRef ds:uri="http://purl.org/dc/dcmitype/"/>
    <ds:schemaRef ds:uri="http://purl.org/dc/elements/1.1/"/>
    <ds:schemaRef ds:uri="http://schemas.microsoft.com/office/infopath/2007/PartnerControls"/>
    <ds:schemaRef ds:uri="http://schemas.microsoft.com/office/2006/documentManagement/types"/>
    <ds:schemaRef ds:uri="f4893ae7-68b4-416d-becf-0fc5876f83a3"/>
    <ds:schemaRef ds:uri="http://www.w3.org/XML/1998/namespace"/>
    <ds:schemaRef ds:uri="http://schemas.microsoft.com/office/2006/metadata/properties"/>
    <ds:schemaRef ds:uri="http://schemas.openxmlformats.org/package/2006/metadata/core-properties"/>
    <ds:schemaRef ds:uri="5cbbd1e2-4091-433a-97b1-41e51d4e020b"/>
    <ds:schemaRef ds:uri="http://purl.org/dc/terms/"/>
  </ds:schemaRefs>
</ds:datastoreItem>
</file>

<file path=customXml/itemProps2.xml><?xml version="1.0" encoding="utf-8"?>
<ds:datastoreItem xmlns:ds="http://schemas.openxmlformats.org/officeDocument/2006/customXml" ds:itemID="{3DA79131-845B-4BCE-AE55-DF5375EEB0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93ae7-68b4-416d-becf-0fc5876f83a3"/>
    <ds:schemaRef ds:uri="5cbbd1e2-4091-433a-97b1-41e51d4e0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B0272-F037-4951-AB38-E667C056E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vt:lpstr>
      <vt:lpstr>Global Inputs</vt:lpstr>
      <vt:lpstr>Building Typology</vt:lpstr>
      <vt:lpstr>System Descriptions</vt:lpstr>
      <vt:lpstr>FS - Unitary Capital</vt:lpstr>
      <vt:lpstr>FS - Capital Output</vt:lpstr>
      <vt:lpstr>FS - Operational</vt:lpstr>
      <vt:lpstr>FS - Business Case</vt:lpstr>
      <vt:lpstr>FS - Graphical Analyses</vt:lpstr>
      <vt:lpstr>Efficiency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Sheena Sharp</dc:creator>
  <cp:keywords/>
  <dc:description/>
  <cp:lastModifiedBy>Steven Pacifico</cp:lastModifiedBy>
  <cp:revision/>
  <dcterms:created xsi:type="dcterms:W3CDTF">2021-01-10T23:16:01Z</dcterms:created>
  <dcterms:modified xsi:type="dcterms:W3CDTF">2024-11-14T19:54:23Z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0x01010091181F65C1398A47B01E40FBFE3221F7</vt:lpwstr>
  </property>
  <property fmtid="{D5CDD505-2E9C-101B-9397-08002B2CF9AE}" pid="3" name="MSIP_Label_82fa3fd3-029b-403d-91b4-1dc930cb0e60_Enabled">
    <vt:lpwstr>true</vt:lpwstr>
  </property>
  <property fmtid="{D5CDD505-2E9C-101B-9397-08002B2CF9AE}" pid="4" name="MSIP_Label_82fa3fd3-029b-403d-91b4-1dc930cb0e60_SetDate">
    <vt:lpwstr>2021-04-06T18:49:11Z</vt:lpwstr>
  </property>
  <property fmtid="{D5CDD505-2E9C-101B-9397-08002B2CF9AE}" pid="5" name="MSIP_Label_82fa3fd3-029b-403d-91b4-1dc930cb0e60_Method">
    <vt:lpwstr>Standard</vt:lpwstr>
  </property>
  <property fmtid="{D5CDD505-2E9C-101B-9397-08002B2CF9AE}" pid="6" name="MSIP_Label_82fa3fd3-029b-403d-91b4-1dc930cb0e60_Name">
    <vt:lpwstr>82fa3fd3-029b-403d-91b4-1dc930cb0e60</vt:lpwstr>
  </property>
  <property fmtid="{D5CDD505-2E9C-101B-9397-08002B2CF9AE}" pid="7" name="MSIP_Label_82fa3fd3-029b-403d-91b4-1dc930cb0e60_SiteId">
    <vt:lpwstr>4ae48b41-0137-4599-8661-fc641fe77bea</vt:lpwstr>
  </property>
  <property fmtid="{D5CDD505-2E9C-101B-9397-08002B2CF9AE}" pid="8" name="MSIP_Label_82fa3fd3-029b-403d-91b4-1dc930cb0e60_ActionId">
    <vt:lpwstr>edd91f41-6615-4fc7-9443-b64eb6d4596e</vt:lpwstr>
  </property>
  <property fmtid="{D5CDD505-2E9C-101B-9397-08002B2CF9AE}" pid="9" name="MSIP_Label_82fa3fd3-029b-403d-91b4-1dc930cb0e60_ContentBits">
    <vt:lpwstr>0</vt:lpwstr>
  </property>
  <property fmtid="{D5CDD505-2E9C-101B-9397-08002B2CF9AE}" pid="10" name="MediaServiceImageTags">
    <vt:lpwstr/>
  </property>
  <property fmtid="{D5CDD505-2E9C-101B-9397-08002B2CF9AE}" pid="11" name="Service">
    <vt:lpwstr/>
  </property>
  <property fmtid="{D5CDD505-2E9C-101B-9397-08002B2CF9AE}" pid="12" name="SearchFilter">
    <vt:lpwstr/>
  </property>
  <property fmtid="{D5CDD505-2E9C-101B-9397-08002B2CF9AE}" pid="13" name="Location">
    <vt:lpwstr/>
  </property>
</Properties>
</file>